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Administrasjon\Økonomi 2022\"/>
    </mc:Choice>
  </mc:AlternateContent>
  <xr:revisionPtr revIDLastSave="0" documentId="13_ncr:1_{2708DA03-DCC5-45D4-A185-840B842F6C40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Budsjett 2020 Heddal IL hoved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58" i="1"/>
  <c r="C61" i="1" s="1"/>
  <c r="C56" i="1"/>
  <c r="C112" i="1"/>
  <c r="C114" i="1"/>
  <c r="C115" i="1"/>
  <c r="C104" i="1"/>
  <c r="C96" i="1"/>
  <c r="C94" i="1"/>
  <c r="C84" i="1"/>
  <c r="C73" i="1"/>
  <c r="C65" i="1"/>
  <c r="C52" i="1"/>
  <c r="C50" i="1"/>
  <c r="C49" i="1"/>
  <c r="C47" i="1"/>
  <c r="C43" i="1"/>
  <c r="C41" i="1"/>
  <c r="D5" i="1"/>
  <c r="D3" i="1"/>
  <c r="C108" i="1" l="1"/>
  <c r="C116" i="1"/>
  <c r="C31" i="1"/>
  <c r="C37" i="1" s="1"/>
  <c r="C109" i="1" l="1"/>
  <c r="C117" i="1" s="1"/>
  <c r="C119" i="1" s="1"/>
  <c r="D24" i="1" l="1"/>
  <c r="F26" i="1" l="1"/>
  <c r="G26" i="1"/>
  <c r="G28" i="1" s="1"/>
  <c r="D13" i="1" l="1"/>
  <c r="D82" i="1" l="1"/>
  <c r="E43" i="1"/>
  <c r="E49" i="1" s="1"/>
  <c r="H25" i="1"/>
  <c r="F28" i="1"/>
  <c r="K87" i="1"/>
  <c r="L87" i="1"/>
  <c r="L112" i="1"/>
  <c r="L116" i="1" s="1"/>
  <c r="L104" i="1"/>
  <c r="L96" i="1"/>
  <c r="L94" i="1"/>
  <c r="L89" i="1"/>
  <c r="L84" i="1"/>
  <c r="L77" i="1"/>
  <c r="L75" i="1"/>
  <c r="L73" i="1"/>
  <c r="L65" i="1"/>
  <c r="L61" i="1"/>
  <c r="L52" i="1"/>
  <c r="L41" i="1"/>
  <c r="L36" i="1"/>
  <c r="E47" i="1" l="1"/>
  <c r="E50" i="1" s="1"/>
  <c r="L108" i="1"/>
  <c r="L31" i="1"/>
  <c r="L37" i="1" s="1"/>
  <c r="D29" i="1"/>
  <c r="D4" i="1"/>
  <c r="D30" i="1"/>
  <c r="L109" i="1" l="1"/>
  <c r="L117" i="1" s="1"/>
  <c r="L119" i="1" s="1"/>
  <c r="D114" i="1"/>
  <c r="D113" i="1"/>
  <c r="D111" i="1"/>
  <c r="D105" i="1"/>
  <c r="D103" i="1"/>
  <c r="D102" i="1"/>
  <c r="D101" i="1"/>
  <c r="D100" i="1"/>
  <c r="D99" i="1"/>
  <c r="D98" i="1"/>
  <c r="D97" i="1"/>
  <c r="D95" i="1"/>
  <c r="D93" i="1"/>
  <c r="D91" i="1"/>
  <c r="D90" i="1"/>
  <c r="D88" i="1"/>
  <c r="D86" i="1"/>
  <c r="D85" i="1"/>
  <c r="D83" i="1"/>
  <c r="D81" i="1"/>
  <c r="D80" i="1"/>
  <c r="D79" i="1"/>
  <c r="D78" i="1"/>
  <c r="D76" i="1"/>
  <c r="D74" i="1"/>
  <c r="D72" i="1"/>
  <c r="D71" i="1"/>
  <c r="D70" i="1"/>
  <c r="D69" i="1"/>
  <c r="D68" i="1"/>
  <c r="D66" i="1"/>
  <c r="D64" i="1"/>
  <c r="D63" i="1"/>
  <c r="D62" i="1"/>
  <c r="D60" i="1"/>
  <c r="D59" i="1"/>
  <c r="D58" i="1"/>
  <c r="D57" i="1"/>
  <c r="D56" i="1"/>
  <c r="D54" i="1"/>
  <c r="D51" i="1"/>
  <c r="D50" i="1"/>
  <c r="D49" i="1"/>
  <c r="D48" i="1"/>
  <c r="D47" i="1"/>
  <c r="D46" i="1"/>
  <c r="D44" i="1"/>
  <c r="D43" i="1"/>
  <c r="D40" i="1"/>
  <c r="D35" i="1"/>
  <c r="D34" i="1"/>
  <c r="D33" i="1"/>
  <c r="D32" i="1"/>
  <c r="D6" i="1"/>
  <c r="D7" i="1"/>
  <c r="D8" i="1"/>
  <c r="D11" i="1"/>
  <c r="D12" i="1"/>
  <c r="D14" i="1"/>
  <c r="D15" i="1"/>
  <c r="D16" i="1"/>
  <c r="D17" i="1"/>
  <c r="D18" i="1"/>
  <c r="D20" i="1"/>
  <c r="D21" i="1"/>
  <c r="I112" i="1"/>
  <c r="I116" i="1" s="1"/>
  <c r="I104" i="1"/>
  <c r="I96" i="1"/>
  <c r="I94" i="1"/>
  <c r="I89" i="1"/>
  <c r="I87" i="1"/>
  <c r="I84" i="1"/>
  <c r="I77" i="1"/>
  <c r="I75" i="1"/>
  <c r="I73" i="1"/>
  <c r="I65" i="1"/>
  <c r="I61" i="1"/>
  <c r="I52" i="1"/>
  <c r="I41" i="1"/>
  <c r="I36" i="1"/>
  <c r="I31" i="1"/>
  <c r="D67" i="1"/>
  <c r="I37" i="1" l="1"/>
  <c r="I108" i="1"/>
  <c r="D19" i="1"/>
  <c r="I109" i="1" l="1"/>
  <c r="I117" i="1" s="1"/>
  <c r="I119" i="1" s="1"/>
  <c r="E112" i="1"/>
  <c r="E116" i="1" s="1"/>
  <c r="F112" i="1"/>
  <c r="F116" i="1" s="1"/>
  <c r="G112" i="1"/>
  <c r="G116" i="1" s="1"/>
  <c r="H112" i="1"/>
  <c r="H116" i="1" s="1"/>
  <c r="D41" i="1" l="1"/>
  <c r="E41" i="1"/>
  <c r="F41" i="1"/>
  <c r="G41" i="1"/>
  <c r="H41" i="1"/>
  <c r="E36" i="1"/>
  <c r="F36" i="1"/>
  <c r="G36" i="1"/>
  <c r="H36" i="1"/>
  <c r="E52" i="1"/>
  <c r="F52" i="1"/>
  <c r="G52" i="1"/>
  <c r="H52" i="1"/>
  <c r="E61" i="1"/>
  <c r="F61" i="1"/>
  <c r="G61" i="1"/>
  <c r="H61" i="1"/>
  <c r="E65" i="1"/>
  <c r="F65" i="1"/>
  <c r="G65" i="1"/>
  <c r="H65" i="1"/>
  <c r="E73" i="1"/>
  <c r="F73" i="1"/>
  <c r="G73" i="1"/>
  <c r="H73" i="1"/>
  <c r="E75" i="1"/>
  <c r="F75" i="1"/>
  <c r="G75" i="1"/>
  <c r="H75" i="1"/>
  <c r="E77" i="1"/>
  <c r="F77" i="1"/>
  <c r="G77" i="1"/>
  <c r="H77" i="1"/>
  <c r="E84" i="1"/>
  <c r="F84" i="1"/>
  <c r="G84" i="1"/>
  <c r="H84" i="1"/>
  <c r="E87" i="1"/>
  <c r="F87" i="1"/>
  <c r="G87" i="1"/>
  <c r="H87" i="1"/>
  <c r="E89" i="1"/>
  <c r="F89" i="1"/>
  <c r="G89" i="1"/>
  <c r="H89" i="1"/>
  <c r="E94" i="1"/>
  <c r="F94" i="1"/>
  <c r="G94" i="1"/>
  <c r="H94" i="1"/>
  <c r="D25" i="1" s="1"/>
  <c r="E96" i="1"/>
  <c r="F96" i="1"/>
  <c r="G96" i="1"/>
  <c r="H96" i="1"/>
  <c r="E104" i="1"/>
  <c r="F104" i="1"/>
  <c r="G104" i="1"/>
  <c r="H104" i="1"/>
  <c r="M115" i="1"/>
  <c r="M112" i="1"/>
  <c r="M104" i="1"/>
  <c r="M96" i="1"/>
  <c r="M94" i="1"/>
  <c r="M89" i="1"/>
  <c r="M87" i="1"/>
  <c r="M84" i="1"/>
  <c r="M77" i="1"/>
  <c r="M75" i="1"/>
  <c r="M73" i="1"/>
  <c r="M65" i="1"/>
  <c r="M61" i="1"/>
  <c r="M52" i="1"/>
  <c r="M36" i="1"/>
  <c r="M31" i="1"/>
  <c r="G31" i="1" l="1"/>
  <c r="G37" i="1" s="1"/>
  <c r="D27" i="1"/>
  <c r="H28" i="1"/>
  <c r="H31" i="1" s="1"/>
  <c r="H37" i="1" s="1"/>
  <c r="M37" i="1"/>
  <c r="M116" i="1"/>
  <c r="G108" i="1"/>
  <c r="E108" i="1"/>
  <c r="F108" i="1"/>
  <c r="M108" i="1"/>
  <c r="H108" i="1"/>
  <c r="D115" i="1"/>
  <c r="D112" i="1"/>
  <c r="N52" i="1"/>
  <c r="D104" i="1"/>
  <c r="D96" i="1"/>
  <c r="D94" i="1"/>
  <c r="D89" i="1"/>
  <c r="D87" i="1"/>
  <c r="D84" i="1"/>
  <c r="D77" i="1"/>
  <c r="D75" i="1"/>
  <c r="D73" i="1"/>
  <c r="D65" i="1"/>
  <c r="D61" i="1"/>
  <c r="D52" i="1"/>
  <c r="D36" i="1"/>
  <c r="N31" i="1"/>
  <c r="N37" i="1" s="1"/>
  <c r="O31" i="1"/>
  <c r="O37" i="1" s="1"/>
  <c r="G109" i="1" l="1"/>
  <c r="G117" i="1" s="1"/>
  <c r="G119" i="1" s="1"/>
  <c r="M109" i="1"/>
  <c r="H109" i="1"/>
  <c r="H117" i="1" s="1"/>
  <c r="H119" i="1" s="1"/>
  <c r="M117" i="1"/>
  <c r="M119" i="1" s="1"/>
  <c r="D108" i="1"/>
  <c r="D116" i="1"/>
  <c r="D26" i="1"/>
  <c r="F31" i="1"/>
  <c r="F37" i="1" s="1"/>
  <c r="F109" i="1" s="1"/>
  <c r="F117" i="1" s="1"/>
  <c r="F119" i="1" s="1"/>
  <c r="E28" i="1" l="1"/>
  <c r="E31" i="1" s="1"/>
  <c r="E37" i="1" s="1"/>
  <c r="E109" i="1" s="1"/>
  <c r="E117" i="1" s="1"/>
  <c r="E119" i="1" s="1"/>
  <c r="D28" i="1" l="1"/>
  <c r="D31" i="1" s="1"/>
  <c r="D37" i="1" s="1"/>
  <c r="D109" i="1" s="1"/>
  <c r="D117" i="1" s="1"/>
  <c r="D1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Håkon</author>
    <author>Magne Tveiten</author>
    <author>Andreas Susrud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Sponsoravtale Hjartdalbanken</t>
        </r>
      </text>
    </comment>
    <comment ref="L10" authorId="1" shapeId="0" xr:uid="{DDD4D64A-340C-4A0D-A40A-985EB90BD04A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Paraveka</t>
        </r>
      </text>
    </comment>
    <comment ref="B13" authorId="1" shapeId="0" xr:uid="{CC2CE368-1021-496D-9BE4-246662B6D3E8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Gjelden avatale er at hovedlaget beholder 80k av lam middler og at gruppene får resten til fordeling. (Ca 65000kr) for å klare å få budsjettet i balanse må vi blant anna beholde alle lam middler i hovedlaget...</t>
        </r>
      </text>
    </comment>
    <comment ref="I16" authorId="1" shapeId="0" xr:uid="{7416FAFF-E3FB-4E2A-B038-A09628DFE6F2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Usikker på kva som er realistisk her. Paraveka har fått tilskudd for 2021 også, men usikker på kva HIL får ut av dette</t>
        </r>
      </text>
    </comment>
    <comment ref="L16" authorId="1" shapeId="0" xr:uid="{6FE68D6F-CF93-4735-BFCA-37E58148373B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Sjå punkt 3410</t>
        </r>
      </text>
    </comment>
    <comment ref="C24" authorId="2" shapeId="0" xr:uid="{2A2289FB-46D4-4E3C-BFC9-7EFE6A9CC201}">
      <text>
        <r>
          <rPr>
            <b/>
            <sz val="9"/>
            <color indexed="81"/>
            <rFont val="Tahoma"/>
            <family val="2"/>
          </rPr>
          <t>Andreas Susrud:</t>
        </r>
        <r>
          <rPr>
            <sz val="9"/>
            <color indexed="81"/>
            <rFont val="Tahoma"/>
            <family val="2"/>
          </rPr>
          <t xml:space="preserve">
Hentet fra aktivitetspark til daglig leder finans.
+ refusjon fra u.grupper for regnskap. 
+inntekter kontorlokaler</t>
        </r>
      </text>
    </comment>
    <comment ref="E24" authorId="1" shapeId="0" xr:uid="{F0755AB1-E0BD-4F6D-A415-B2F656A448CD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Medfinansiering av daglig leder fra Aktivitets parken </t>
        </r>
      </text>
    </comment>
    <comment ref="E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Daglig leder ekskl. feriepenger
Magne: Lagt inn 1,5% lønnsjustering</t>
        </r>
      </text>
    </comment>
    <comment ref="E4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Feriepenger daglig leder</t>
        </r>
      </text>
    </comment>
    <comment ref="E5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Mangler faktura for renovasjon mv. fra Vidar kulturhus for 2019. 
Magne: Stipulert 5000kr, kjenner ikkje faktisk kost</t>
        </r>
      </text>
    </comment>
    <comment ref="E6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Dette beløpet bør forankres gjennom hovedstyrevedtak
Beløpet lå på konto 3600 i budsjett 2019
Magne: Avtalt med Fotball gruppa at dei dekker inn auken i husleie.</t>
        </r>
      </text>
    </comment>
    <comment ref="E6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Betalingsterminal og postboks</t>
        </r>
      </text>
    </comment>
    <comment ref="E6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Hjemmeside, Visma regnskapsprogram
</t>
        </r>
      </text>
    </comment>
    <comment ref="E6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Her må Magne legge inn samlede utgifter til installasjon og drift i 2020</t>
        </r>
      </text>
    </comment>
    <comment ref="E7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2019: nøkkelkort, engervaser</t>
        </r>
      </text>
    </comment>
    <comment ref="E7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Det kommer noe utgifter til toner permer mv. regnskap + til daglig leder
</t>
        </r>
      </text>
    </comment>
    <comment ref="F7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17. maiprogram</t>
        </r>
      </text>
    </comment>
    <comment ref="E8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Annonse årsmøte mv.</t>
        </r>
      </text>
    </comment>
    <comment ref="E82" authorId="1" shapeId="0" xr:uid="{D3201ED2-0436-466E-A0F1-DE16C7889747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Skal egentleg dekkes av Notodden Energi</t>
        </r>
      </text>
    </comment>
    <comment ref="E8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Sørg for at annonsefakturaer 17. maiprogram kan sendes ut per e-post</t>
        </r>
      </text>
    </comment>
    <comment ref="E90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Blomster årsmøte++</t>
        </r>
      </text>
    </comment>
    <comment ref="F9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Tilskudd FAU leker 17. mai
</t>
        </r>
      </text>
    </comment>
    <comment ref="H9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Premier og trykking av lodd + annonsering - bør nok økes noe? Finnes et budsjett for årets hovedstyrelotteri?
Magne: Lagt inn årets premier. (Kan slankes neste år egentleg), trykking (3750kr) og Telen Annonse (ca 5000kr)</t>
        </r>
      </text>
    </comment>
    <comment ref="E9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Ansvars- og personforsikring. Forsikringene bør gjennomgås med tanke på nye forsikringsobjekter og daglig leder</t>
        </r>
      </text>
    </comment>
    <comment ref="E10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2019: søknad bingotillatelse, krans Einar Bakka</t>
        </r>
      </text>
    </comment>
    <comment ref="C113" authorId="2" shapeId="0" xr:uid="{F465DD34-182A-46AE-9469-196F52DB6ACA}">
      <text/>
    </comment>
  </commentList>
</comments>
</file>

<file path=xl/sharedStrings.xml><?xml version="1.0" encoding="utf-8"?>
<sst xmlns="http://schemas.openxmlformats.org/spreadsheetml/2006/main" count="135" uniqueCount="133">
  <si>
    <t>Budsjett 2021 hovedstyret inkl. dugnader</t>
  </si>
  <si>
    <t>DRIFTSINNTEKTER</t>
  </si>
  <si>
    <t>Sum budsjett 2021 - ikke skriv i denne kolonnen</t>
  </si>
  <si>
    <t>Ordinær drift hovedstyret</t>
  </si>
  <si>
    <t>17. mai-dugnad</t>
  </si>
  <si>
    <t>Bluesdugnad</t>
  </si>
  <si>
    <t>Hovedstyrets lotteri</t>
  </si>
  <si>
    <t>Paraveka</t>
  </si>
  <si>
    <t>Sum budsjett 2020</t>
  </si>
  <si>
    <t>Regnskap 2020</t>
  </si>
  <si>
    <t>Sum budsjett 2019</t>
  </si>
  <si>
    <t>Regnskap 2018</t>
  </si>
  <si>
    <t>Regnskap 2017</t>
  </si>
  <si>
    <t>Sponsor inntekt, avg.pl.</t>
  </si>
  <si>
    <t>Annonsesalg 17. mai</t>
  </si>
  <si>
    <t>Sponsorinntekter</t>
  </si>
  <si>
    <t>Kontantrabatter, avgiftsfritt</t>
  </si>
  <si>
    <t>Kioskinntekt</t>
  </si>
  <si>
    <t>Offentlige tilskudd</t>
  </si>
  <si>
    <t>Covid-19 kompensasjon</t>
  </si>
  <si>
    <t>Tillskudd fra andre</t>
  </si>
  <si>
    <t>Spillemidler</t>
  </si>
  <si>
    <t>LAM-midler</t>
  </si>
  <si>
    <t>LAM-midler til gruppene</t>
  </si>
  <si>
    <t>17 mai-tilskudd Notodden komm.</t>
  </si>
  <si>
    <t>Lodd/dugnad</t>
  </si>
  <si>
    <t>Momskompensasjon</t>
  </si>
  <si>
    <t>Bingoandel</t>
  </si>
  <si>
    <t>Egenandel/kontingent</t>
  </si>
  <si>
    <t>Medlemskontigent inn til HS, varslet gruppene.</t>
  </si>
  <si>
    <t>Arrangement/dugnad etc</t>
  </si>
  <si>
    <t>Overført utdeling grupper prosjekter</t>
  </si>
  <si>
    <t>Gaver</t>
  </si>
  <si>
    <t>Støttemedlemskap</t>
  </si>
  <si>
    <t>Andre driftsinntekter</t>
  </si>
  <si>
    <t>Overført oversk.andeler hovedstyrets lotteri til undergrupper (80%)</t>
  </si>
  <si>
    <t>Overført oversk.andeler 17. maidugnad til undergrupper (80%)</t>
  </si>
  <si>
    <t>Overført oversk.andeler bluesdugnad til undergrupper (80%)</t>
  </si>
  <si>
    <t>Hovedstyrets overskuddsandel dugnader (20%)</t>
  </si>
  <si>
    <t>Overført sponsormidler Sparebank 1 til undergrupper</t>
  </si>
  <si>
    <t>Overf. tilskudd Paraveka til undergrupper</t>
  </si>
  <si>
    <t>Sum salgsinntekter</t>
  </si>
  <si>
    <t>Leieinntekter fast eiendom</t>
  </si>
  <si>
    <t>Leieinntekter ikke pliktige</t>
  </si>
  <si>
    <t>Sum andre salgsinntekter</t>
  </si>
  <si>
    <t>SUM DRIFTSINNTEKTER</t>
  </si>
  <si>
    <t>DRIFTSKOSTNADER</t>
  </si>
  <si>
    <t>Varekjøp kiosk</t>
  </si>
  <si>
    <t>Sum varekostnad</t>
  </si>
  <si>
    <t>Lønn til ansatte</t>
  </si>
  <si>
    <t>Lønn regnskap</t>
  </si>
  <si>
    <t>Lønn t.o.m 10 000</t>
  </si>
  <si>
    <t>Påløpt, ikke utbetalt lønn</t>
  </si>
  <si>
    <t>Feriepenger</t>
  </si>
  <si>
    <t>Refusjon lønn regnskap for undergr.</t>
  </si>
  <si>
    <t>Arbeidsgiveravgift</t>
  </si>
  <si>
    <t>Arbeidsgiveravg. av påløpne feriepenger</t>
  </si>
  <si>
    <t>Styrehonorar</t>
  </si>
  <si>
    <t>Sum lønnskostnader</t>
  </si>
  <si>
    <t>Sum kostnader arbeidskraft</t>
  </si>
  <si>
    <t>Toll og spedisjonskostnad v/varefors</t>
  </si>
  <si>
    <t>Sum fraktkostnader</t>
  </si>
  <si>
    <t>Leie lokaler</t>
  </si>
  <si>
    <t>Renovasjon, vann, avløp o.l.</t>
  </si>
  <si>
    <t>Strøm</t>
  </si>
  <si>
    <t>Renhold</t>
  </si>
  <si>
    <t>Refusjon husleie/renhold fra undergr.</t>
  </si>
  <si>
    <t>Sum kostnader lokaler</t>
  </si>
  <si>
    <t>Leie datasystemer</t>
  </si>
  <si>
    <t>Nytt mail og hjemmeside oppsett</t>
  </si>
  <si>
    <t>Leie andre kontormaskiner</t>
  </si>
  <si>
    <t>Annen leiekostnad</t>
  </si>
  <si>
    <t>Sum leie maskiner og utstyr</t>
  </si>
  <si>
    <t>Kostnadsført inventar</t>
  </si>
  <si>
    <t>Kostnadsført utstyr</t>
  </si>
  <si>
    <t>Programvare årlig vedlikehold</t>
  </si>
  <si>
    <t>Ny programvare</t>
  </si>
  <si>
    <t>Medlemsadministrasjonsutg. (Rubic)</t>
  </si>
  <si>
    <t>Kostnader egne arrangement/dugnad etc</t>
  </si>
  <si>
    <t>Rekvisita</t>
  </si>
  <si>
    <t>Annet driftsmateriale</t>
  </si>
  <si>
    <t>Sum kostnadsførte anskaffelser</t>
  </si>
  <si>
    <t>Rep. og vedlikehold utstyr</t>
  </si>
  <si>
    <t>Sum reparasjoner og vedlikehold</t>
  </si>
  <si>
    <t>Regnskapshonorar</t>
  </si>
  <si>
    <t>Sum eksterne honorarer</t>
  </si>
  <si>
    <t>Kontorrekvisita</t>
  </si>
  <si>
    <t>Trykksaker</t>
  </si>
  <si>
    <t>Møter, kurs, oppdatering</t>
  </si>
  <si>
    <t>Telefon</t>
  </si>
  <si>
    <t>Bredbånd</t>
  </si>
  <si>
    <t>Porto</t>
  </si>
  <si>
    <t>Sum kontorkostnader</t>
  </si>
  <si>
    <t>Bilgodtgjørelse, oppgavepliktig</t>
  </si>
  <si>
    <t>Reisekostnad, ikke oppg.pliktig</t>
  </si>
  <si>
    <t>Sum reise, diett, bilgodtgj</t>
  </si>
  <si>
    <t>Reklameannonser</t>
  </si>
  <si>
    <t>Sum salgs- og reklamekostnader</t>
  </si>
  <si>
    <t>Gaver og oppmerksomheter</t>
  </si>
  <si>
    <t>Tilskudd</t>
  </si>
  <si>
    <t>Premier</t>
  </si>
  <si>
    <t>Lodd/dugnadspremier</t>
  </si>
  <si>
    <t>Gaver og kontingenter</t>
  </si>
  <si>
    <t>Forsikringspremie</t>
  </si>
  <si>
    <t>Sum forsikringer</t>
  </si>
  <si>
    <t>Bank og kortgebyrer</t>
  </si>
  <si>
    <t>Øreavrunding</t>
  </si>
  <si>
    <t>Gebyrer Vipps</t>
  </si>
  <si>
    <t>Bankterminal</t>
  </si>
  <si>
    <t>Andre kostnader</t>
  </si>
  <si>
    <t>Sosiale tiltak</t>
  </si>
  <si>
    <t>Sum andre kostnader</t>
  </si>
  <si>
    <t>Tap på fordringer fradragsberettiget</t>
  </si>
  <si>
    <t>Sum tap/gevinst o.l.</t>
  </si>
  <si>
    <t>Sum andre driftskostnader</t>
  </si>
  <si>
    <t>SUM DRIFTSKOSTNADER</t>
  </si>
  <si>
    <t>DRIFTSRESULTAT</t>
  </si>
  <si>
    <t>FINANSINNT. OG -KOSTN.</t>
  </si>
  <si>
    <t>Renteinntekt bankinnskudd</t>
  </si>
  <si>
    <t>Sum finansinntekter</t>
  </si>
  <si>
    <t>Annen rentekostnad</t>
  </si>
  <si>
    <t>Rentekostnad leverandørgjeld</t>
  </si>
  <si>
    <t>Sum finanskostnader</t>
  </si>
  <si>
    <t>SUM NTO. FINANSPOSTER</t>
  </si>
  <si>
    <t>ORD. RESULTAT FØR SKATT</t>
  </si>
  <si>
    <t>EKSTRAORDINÆRE POSTER</t>
  </si>
  <si>
    <t>ÅRSRESULTAT</t>
  </si>
  <si>
    <t>Overskudd + / Underskudd -</t>
  </si>
  <si>
    <t>Overføringer annen egenkapital</t>
  </si>
  <si>
    <t>Sum overføringer</t>
  </si>
  <si>
    <t>Tilskudd Telemarksveka</t>
  </si>
  <si>
    <t>Budsjett 2022</t>
  </si>
  <si>
    <t>Overføring til prosjektgruppa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</si>
</sst>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Times New Roman"/>
      <charset val="204"/>
    </font>
    <font>
      <sz val="10"/>
      <color rgb="FF000000"/>
      <name val="Curier"/>
    </font>
    <font>
      <b/>
      <sz val="10"/>
      <name val="Curier"/>
    </font>
    <font>
      <sz val="10"/>
      <name val="Curier"/>
    </font>
    <font>
      <b/>
      <sz val="10"/>
      <color rgb="FF000000"/>
      <name val="Curier"/>
    </font>
    <font>
      <sz val="10"/>
      <color rgb="FFFF0000"/>
      <name val="C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urier"/>
    </font>
    <font>
      <b/>
      <sz val="14"/>
      <name val="Curie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shrinkToFit="1"/>
    </xf>
    <xf numFmtId="3" fontId="1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shrinkToFit="1"/>
    </xf>
    <xf numFmtId="3" fontId="3" fillId="0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 wrapText="1" indent="1"/>
    </xf>
    <xf numFmtId="3" fontId="1" fillId="0" borderId="1" xfId="0" applyNumberFormat="1" applyFont="1" applyFill="1" applyBorder="1" applyAlignment="1">
      <alignment horizontal="right" vertical="top" indent="1" shrinkToFit="1"/>
    </xf>
    <xf numFmtId="3" fontId="3" fillId="0" borderId="2" xfId="0" applyNumberFormat="1" applyFont="1" applyFill="1" applyBorder="1" applyAlignment="1">
      <alignment horizontal="right" vertical="top" wrapText="1" indent="1"/>
    </xf>
    <xf numFmtId="3" fontId="4" fillId="0" borderId="1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top" shrinkToFit="1"/>
    </xf>
    <xf numFmtId="3" fontId="1" fillId="0" borderId="7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top" indent="1" shrinkToFit="1"/>
    </xf>
    <xf numFmtId="3" fontId="4" fillId="0" borderId="1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 vertical="top" wrapText="1" indent="1"/>
    </xf>
    <xf numFmtId="3" fontId="2" fillId="0" borderId="1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1" fillId="0" borderId="8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 wrapText="1" indent="1"/>
    </xf>
    <xf numFmtId="3" fontId="1" fillId="0" borderId="8" xfId="0" applyNumberFormat="1" applyFont="1" applyFill="1" applyBorder="1" applyAlignment="1">
      <alignment horizontal="right" vertical="top" shrinkToFit="1"/>
    </xf>
    <xf numFmtId="3" fontId="4" fillId="0" borderId="9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 wrapText="1" indent="1"/>
    </xf>
    <xf numFmtId="3" fontId="2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 wrapText="1" indent="1"/>
    </xf>
    <xf numFmtId="3" fontId="2" fillId="0" borderId="5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indent="1" shrinkToFit="1"/>
    </xf>
    <xf numFmtId="3" fontId="2" fillId="0" borderId="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right" vertical="top"/>
    </xf>
    <xf numFmtId="3" fontId="1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indent="1" shrinkToFi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3" fontId="1" fillId="2" borderId="8" xfId="0" applyNumberFormat="1" applyFont="1" applyFill="1" applyBorder="1" applyAlignment="1">
      <alignment horizontal="right" vertical="top"/>
    </xf>
    <xf numFmtId="3" fontId="4" fillId="2" borderId="7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/>
    </xf>
    <xf numFmtId="3" fontId="1" fillId="2" borderId="15" xfId="0" applyNumberFormat="1" applyFont="1" applyFill="1" applyBorder="1" applyAlignment="1">
      <alignment horizontal="right" vertical="top"/>
    </xf>
    <xf numFmtId="3" fontId="4" fillId="2" borderId="6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3" fontId="9" fillId="0" borderId="1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88</xdr:row>
      <xdr:rowOff>152626</xdr:rowOff>
    </xdr:from>
    <xdr:ext cx="1685289" cy="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46822" y="10936287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3</xdr:col>
      <xdr:colOff>1881483</xdr:colOff>
      <xdr:row>88</xdr:row>
      <xdr:rowOff>152626</xdr:rowOff>
    </xdr:from>
    <xdr:ext cx="1685289" cy="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46822" y="11596233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4</xdr:col>
      <xdr:colOff>1881483</xdr:colOff>
      <xdr:row>88</xdr:row>
      <xdr:rowOff>152626</xdr:rowOff>
    </xdr:from>
    <xdr:ext cx="1685289" cy="0"/>
    <xdr:sp macro="" textlink="">
      <xdr:nv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46822" y="11596233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5</xdr:col>
      <xdr:colOff>1881483</xdr:colOff>
      <xdr:row>88</xdr:row>
      <xdr:rowOff>152626</xdr:rowOff>
    </xdr:from>
    <xdr:ext cx="1685289" cy="0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46822" y="11596233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6</xdr:col>
      <xdr:colOff>1881483</xdr:colOff>
      <xdr:row>88</xdr:row>
      <xdr:rowOff>152626</xdr:rowOff>
    </xdr:from>
    <xdr:ext cx="1685289" cy="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46822" y="11596233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7</xdr:col>
      <xdr:colOff>1881483</xdr:colOff>
      <xdr:row>88</xdr:row>
      <xdr:rowOff>152626</xdr:rowOff>
    </xdr:from>
    <xdr:ext cx="1685289" cy="0"/>
    <xdr:sp macro="" textlink="">
      <xdr:nv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605883" y="14440126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10</xdr:col>
      <xdr:colOff>1881483</xdr:colOff>
      <xdr:row>88</xdr:row>
      <xdr:rowOff>152626</xdr:rowOff>
    </xdr:from>
    <xdr:ext cx="1685289" cy="0"/>
    <xdr:sp macro="" textlink="">
      <xdr:nvSpPr>
        <xdr:cNvPr id="11" name="Shape 2">
          <a:extLst>
            <a:ext uri="{FF2B5EF4-FFF2-40B4-BE49-F238E27FC236}">
              <a16:creationId xmlns:a16="http://schemas.microsoft.com/office/drawing/2014/main" id="{C68F3310-3107-4E16-BCA0-7782C6464B83}"/>
            </a:ext>
          </a:extLst>
        </xdr:cNvPr>
        <xdr:cNvSpPr/>
      </xdr:nvSpPr>
      <xdr:spPr>
        <a:xfrm>
          <a:off x="6605883" y="15364051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9</xdr:col>
      <xdr:colOff>1881483</xdr:colOff>
      <xdr:row>88</xdr:row>
      <xdr:rowOff>152626</xdr:rowOff>
    </xdr:from>
    <xdr:ext cx="1685289" cy="0"/>
    <xdr:sp macro="" textlink="">
      <xdr:nvSpPr>
        <xdr:cNvPr id="12" name="Shape 2">
          <a:extLst>
            <a:ext uri="{FF2B5EF4-FFF2-40B4-BE49-F238E27FC236}">
              <a16:creationId xmlns:a16="http://schemas.microsoft.com/office/drawing/2014/main" id="{72113763-88C7-4BAC-AC79-0D61A2911387}"/>
            </a:ext>
          </a:extLst>
        </xdr:cNvPr>
        <xdr:cNvSpPr/>
      </xdr:nvSpPr>
      <xdr:spPr>
        <a:xfrm>
          <a:off x="10568283" y="15364051"/>
          <a:ext cx="1685289" cy="0"/>
        </a:xfrm>
        <a:custGeom>
          <a:avLst/>
          <a:gdLst/>
          <a:ahLst/>
          <a:cxnLst/>
          <a:rect l="0" t="0" r="0" b="0"/>
          <a:pathLst>
            <a:path w="1685289">
              <a:moveTo>
                <a:pt x="-137" y="5621978"/>
              </a:moveTo>
              <a:lnTo>
                <a:pt x="870300" y="5621978"/>
              </a:lnTo>
            </a:path>
            <a:path w="1685289">
              <a:moveTo>
                <a:pt x="870300" y="5621978"/>
              </a:moveTo>
              <a:lnTo>
                <a:pt x="1684580" y="5621978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tabSelected="1" zoomScale="60" zoomScaleNormal="6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S116" sqref="S116"/>
    </sheetView>
  </sheetViews>
  <sheetFormatPr baseColWidth="10" defaultColWidth="9" defaultRowHeight="13.2" outlineLevelCol="1"/>
  <cols>
    <col min="1" max="1" width="4.6640625" style="3" customWidth="1"/>
    <col min="2" max="2" width="38" style="3" customWidth="1"/>
    <col min="3" max="3" width="19.109375" style="18" customWidth="1"/>
    <col min="4" max="4" width="21" style="13" customWidth="1"/>
    <col min="5" max="9" width="17.33203125" style="13" hidden="1" customWidth="1"/>
    <col min="10" max="10" width="17.33203125" style="81" customWidth="1"/>
    <col min="11" max="11" width="17.33203125" style="13" customWidth="1"/>
    <col min="12" max="12" width="17.33203125" style="13" hidden="1" customWidth="1"/>
    <col min="13" max="13" width="17.33203125" style="13" hidden="1" customWidth="1" outlineLevel="1"/>
    <col min="14" max="14" width="20.77734375" style="8" hidden="1" customWidth="1" outlineLevel="1"/>
    <col min="15" max="15" width="20.77734375" style="18" hidden="1" customWidth="1" outlineLevel="1"/>
    <col min="16" max="16" width="9" style="3" collapsed="1"/>
    <col min="17" max="16384" width="9" style="3"/>
  </cols>
  <sheetData>
    <row r="1" spans="1:16">
      <c r="D1" s="85" t="s">
        <v>0</v>
      </c>
      <c r="E1" s="86"/>
      <c r="F1" s="86"/>
      <c r="G1" s="86"/>
      <c r="H1" s="87"/>
      <c r="I1" s="83"/>
      <c r="J1" s="69"/>
      <c r="K1" s="83"/>
    </row>
    <row r="2" spans="1:16" s="53" customFormat="1" ht="40.5" customHeight="1" thickBot="1">
      <c r="A2" s="48"/>
      <c r="B2" s="54" t="s">
        <v>1</v>
      </c>
      <c r="C2" s="88" t="s">
        <v>131</v>
      </c>
      <c r="D2" s="55" t="s">
        <v>2</v>
      </c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  <c r="J2" s="70"/>
      <c r="K2" s="56" t="s">
        <v>8</v>
      </c>
      <c r="L2" s="56" t="s">
        <v>9</v>
      </c>
      <c r="M2" s="55" t="s">
        <v>10</v>
      </c>
      <c r="N2" s="57" t="s">
        <v>11</v>
      </c>
      <c r="O2" s="57" t="s">
        <v>12</v>
      </c>
      <c r="P2" s="58"/>
    </row>
    <row r="3" spans="1:16">
      <c r="A3" s="5">
        <v>3020</v>
      </c>
      <c r="B3" s="6" t="s">
        <v>13</v>
      </c>
      <c r="C3" s="89">
        <v>96000</v>
      </c>
      <c r="D3" s="20">
        <f>SUM(E3:I3)</f>
        <v>40000</v>
      </c>
      <c r="E3" s="8">
        <v>40000</v>
      </c>
      <c r="F3" s="8"/>
      <c r="G3" s="8"/>
      <c r="H3" s="8"/>
      <c r="I3" s="8"/>
      <c r="J3" s="71"/>
      <c r="K3" s="8">
        <v>60000</v>
      </c>
      <c r="L3" s="8">
        <v>60000</v>
      </c>
      <c r="M3" s="20"/>
      <c r="N3" s="14"/>
      <c r="O3" s="9"/>
    </row>
    <row r="4" spans="1:16">
      <c r="A4" s="5">
        <v>3117</v>
      </c>
      <c r="B4" s="6" t="s">
        <v>14</v>
      </c>
      <c r="C4" s="89">
        <v>50000</v>
      </c>
      <c r="D4" s="20">
        <f>SUM(E4:I4)</f>
        <v>40000</v>
      </c>
      <c r="E4" s="8"/>
      <c r="F4" s="8">
        <v>40000</v>
      </c>
      <c r="G4" s="8"/>
      <c r="H4" s="8"/>
      <c r="I4" s="8"/>
      <c r="J4" s="71"/>
      <c r="K4" s="8">
        <v>48000</v>
      </c>
      <c r="L4" s="8">
        <v>36600</v>
      </c>
      <c r="M4" s="20">
        <v>48000</v>
      </c>
      <c r="N4" s="14">
        <v>47225</v>
      </c>
      <c r="O4" s="9">
        <v>46000</v>
      </c>
    </row>
    <row r="5" spans="1:16">
      <c r="A5" s="5">
        <v>3120</v>
      </c>
      <c r="B5" s="6" t="s">
        <v>15</v>
      </c>
      <c r="C5" s="89">
        <v>0</v>
      </c>
      <c r="D5" s="20">
        <f>SUM(E5:I5)</f>
        <v>0</v>
      </c>
      <c r="E5" s="8"/>
      <c r="F5" s="8"/>
      <c r="G5" s="8"/>
      <c r="H5" s="8"/>
      <c r="I5" s="8"/>
      <c r="J5" s="71"/>
      <c r="K5" s="8">
        <v>0</v>
      </c>
      <c r="L5" s="8"/>
      <c r="M5" s="20"/>
      <c r="N5" s="15">
        <v>0</v>
      </c>
      <c r="O5" s="9">
        <v>475000</v>
      </c>
    </row>
    <row r="6" spans="1:16">
      <c r="A6" s="5">
        <v>3181</v>
      </c>
      <c r="B6" s="6" t="s">
        <v>16</v>
      </c>
      <c r="C6" s="89"/>
      <c r="D6" s="20">
        <f t="shared" ref="C5:D35" si="0">SUM(E6:I6)</f>
        <v>0</v>
      </c>
      <c r="E6" s="8"/>
      <c r="F6" s="8"/>
      <c r="G6" s="8"/>
      <c r="H6" s="8"/>
      <c r="I6" s="8"/>
      <c r="J6" s="71"/>
      <c r="K6" s="8">
        <v>0</v>
      </c>
      <c r="L6" s="8"/>
      <c r="M6" s="20"/>
      <c r="N6" s="15">
        <v>0</v>
      </c>
      <c r="O6" s="10">
        <v>0</v>
      </c>
    </row>
    <row r="7" spans="1:16">
      <c r="A7" s="5">
        <v>3210</v>
      </c>
      <c r="B7" s="6" t="s">
        <v>17</v>
      </c>
      <c r="C7" s="89">
        <v>365000</v>
      </c>
      <c r="D7" s="20">
        <f t="shared" si="0"/>
        <v>365000</v>
      </c>
      <c r="E7" s="8"/>
      <c r="F7" s="8">
        <v>70000</v>
      </c>
      <c r="G7" s="82">
        <v>295000</v>
      </c>
      <c r="H7" s="8"/>
      <c r="I7" s="8"/>
      <c r="J7" s="71"/>
      <c r="K7" s="8">
        <v>371000</v>
      </c>
      <c r="L7" s="8"/>
      <c r="M7" s="20">
        <v>66000</v>
      </c>
      <c r="N7" s="14">
        <v>65574</v>
      </c>
      <c r="O7" s="9">
        <v>108403.14</v>
      </c>
    </row>
    <row r="8" spans="1:16">
      <c r="A8" s="5">
        <v>3400</v>
      </c>
      <c r="B8" s="6" t="s">
        <v>18</v>
      </c>
      <c r="C8" s="89">
        <v>10000</v>
      </c>
      <c r="D8" s="20">
        <f t="shared" si="0"/>
        <v>0</v>
      </c>
      <c r="E8" s="8"/>
      <c r="F8" s="8"/>
      <c r="G8" s="8"/>
      <c r="H8" s="8"/>
      <c r="I8" s="8"/>
      <c r="J8" s="71"/>
      <c r="K8" s="8">
        <v>0</v>
      </c>
      <c r="L8" s="8"/>
      <c r="M8" s="20"/>
      <c r="N8" s="15">
        <v>0</v>
      </c>
      <c r="O8" s="9">
        <v>65000</v>
      </c>
    </row>
    <row r="9" spans="1:16">
      <c r="A9" s="5">
        <v>3405</v>
      </c>
      <c r="B9" s="6" t="s">
        <v>19</v>
      </c>
      <c r="C9" s="89"/>
      <c r="D9" s="20"/>
      <c r="E9" s="8"/>
      <c r="F9" s="8"/>
      <c r="G9" s="8"/>
      <c r="H9" s="8"/>
      <c r="I9" s="8"/>
      <c r="J9" s="71"/>
      <c r="K9" s="8"/>
      <c r="L9" s="8">
        <v>25411</v>
      </c>
      <c r="M9" s="20"/>
      <c r="N9" s="15"/>
      <c r="O9" s="9"/>
    </row>
    <row r="10" spans="1:16">
      <c r="A10" s="5">
        <v>3410</v>
      </c>
      <c r="B10" s="6" t="s">
        <v>20</v>
      </c>
      <c r="C10" s="89"/>
      <c r="D10" s="20"/>
      <c r="E10" s="8"/>
      <c r="F10" s="8"/>
      <c r="G10" s="8"/>
      <c r="H10" s="8"/>
      <c r="I10" s="8"/>
      <c r="J10" s="71"/>
      <c r="K10" s="8"/>
      <c r="L10" s="8">
        <v>40000</v>
      </c>
      <c r="M10" s="20"/>
      <c r="N10" s="15"/>
      <c r="O10" s="9"/>
    </row>
    <row r="11" spans="1:16">
      <c r="A11" s="5">
        <v>3460</v>
      </c>
      <c r="B11" s="6" t="s">
        <v>21</v>
      </c>
      <c r="C11" s="89"/>
      <c r="D11" s="20">
        <f t="shared" si="0"/>
        <v>0</v>
      </c>
      <c r="E11" s="8"/>
      <c r="F11" s="8"/>
      <c r="G11" s="8"/>
      <c r="H11" s="8"/>
      <c r="I11" s="8"/>
      <c r="J11" s="71"/>
      <c r="K11" s="8">
        <v>0</v>
      </c>
      <c r="L11" s="8"/>
      <c r="M11" s="20"/>
      <c r="N11" s="15">
        <v>0</v>
      </c>
      <c r="O11" s="10">
        <v>-190</v>
      </c>
    </row>
    <row r="12" spans="1:16">
      <c r="A12" s="5">
        <v>3462</v>
      </c>
      <c r="B12" s="6" t="s">
        <v>22</v>
      </c>
      <c r="C12" s="89">
        <v>80000</v>
      </c>
      <c r="D12" s="20">
        <f t="shared" si="0"/>
        <v>80000</v>
      </c>
      <c r="E12" s="8">
        <v>80000</v>
      </c>
      <c r="F12" s="8"/>
      <c r="G12" s="8"/>
      <c r="H12" s="8"/>
      <c r="I12" s="8"/>
      <c r="J12" s="71"/>
      <c r="K12" s="8">
        <v>80000</v>
      </c>
      <c r="L12" s="8">
        <v>80000</v>
      </c>
      <c r="M12" s="20"/>
      <c r="N12" s="15"/>
      <c r="O12" s="10"/>
    </row>
    <row r="13" spans="1:16">
      <c r="A13" s="5"/>
      <c r="B13" s="6" t="s">
        <v>23</v>
      </c>
      <c r="C13" s="89"/>
      <c r="D13" s="20">
        <f t="shared" si="0"/>
        <v>0</v>
      </c>
      <c r="E13" s="8"/>
      <c r="F13" s="8"/>
      <c r="G13" s="8"/>
      <c r="H13" s="8"/>
      <c r="I13" s="8"/>
      <c r="J13" s="71"/>
      <c r="K13" s="8"/>
      <c r="L13" s="8"/>
      <c r="M13" s="20"/>
      <c r="N13" s="15"/>
      <c r="O13" s="10"/>
    </row>
    <row r="14" spans="1:16">
      <c r="A14" s="5">
        <v>3463</v>
      </c>
      <c r="B14" s="6" t="s">
        <v>24</v>
      </c>
      <c r="C14" s="89">
        <v>25000</v>
      </c>
      <c r="D14" s="20">
        <f t="shared" si="0"/>
        <v>25000</v>
      </c>
      <c r="E14" s="8"/>
      <c r="F14" s="8">
        <v>25000</v>
      </c>
      <c r="G14" s="8"/>
      <c r="H14" s="8"/>
      <c r="I14" s="8"/>
      <c r="J14" s="71"/>
      <c r="K14" s="8">
        <v>25000</v>
      </c>
      <c r="L14" s="8">
        <v>25000</v>
      </c>
      <c r="M14" s="20"/>
      <c r="N14" s="15">
        <v>0</v>
      </c>
      <c r="O14" s="9">
        <v>25000</v>
      </c>
    </row>
    <row r="15" spans="1:16">
      <c r="A15" s="5">
        <v>3464</v>
      </c>
      <c r="B15" s="6" t="s">
        <v>25</v>
      </c>
      <c r="C15" s="89">
        <v>110000</v>
      </c>
      <c r="D15" s="20">
        <f t="shared" si="0"/>
        <v>70000</v>
      </c>
      <c r="E15" s="8"/>
      <c r="F15" s="8"/>
      <c r="G15" s="8"/>
      <c r="H15" s="8">
        <v>70000</v>
      </c>
      <c r="I15" s="8"/>
      <c r="J15" s="71"/>
      <c r="K15" s="8">
        <v>90000</v>
      </c>
      <c r="L15" s="8">
        <v>74350</v>
      </c>
      <c r="M15" s="20">
        <v>283000</v>
      </c>
      <c r="N15" s="14">
        <v>282946.45</v>
      </c>
      <c r="O15" s="9">
        <v>256910.29</v>
      </c>
    </row>
    <row r="16" spans="1:16">
      <c r="A16" s="5">
        <v>3466</v>
      </c>
      <c r="B16" s="6" t="s">
        <v>130</v>
      </c>
      <c r="C16" s="89">
        <v>100000</v>
      </c>
      <c r="D16" s="20">
        <f t="shared" si="0"/>
        <v>50000</v>
      </c>
      <c r="E16" s="8"/>
      <c r="F16" s="8"/>
      <c r="G16" s="8"/>
      <c r="H16" s="8"/>
      <c r="I16" s="8">
        <v>50000</v>
      </c>
      <c r="J16" s="71"/>
      <c r="K16" s="8">
        <v>100000</v>
      </c>
      <c r="L16" s="8"/>
      <c r="M16" s="20"/>
      <c r="N16" s="14"/>
      <c r="O16" s="9"/>
    </row>
    <row r="17" spans="1:16">
      <c r="A17" s="5">
        <v>3470</v>
      </c>
      <c r="B17" s="6" t="s">
        <v>26</v>
      </c>
      <c r="C17" s="89">
        <v>35000</v>
      </c>
      <c r="D17" s="20">
        <f t="shared" si="0"/>
        <v>35000</v>
      </c>
      <c r="E17" s="8">
        <v>35000</v>
      </c>
      <c r="F17" s="8"/>
      <c r="G17" s="8"/>
      <c r="H17" s="8"/>
      <c r="I17" s="8"/>
      <c r="J17" s="71"/>
      <c r="K17" s="8">
        <v>50000</v>
      </c>
      <c r="L17" s="8">
        <v>23487</v>
      </c>
      <c r="M17" s="20">
        <v>50000</v>
      </c>
      <c r="N17" s="14">
        <v>50233</v>
      </c>
      <c r="O17" s="9">
        <v>102786</v>
      </c>
    </row>
    <row r="18" spans="1:16">
      <c r="A18" s="5">
        <v>3480</v>
      </c>
      <c r="B18" s="6" t="s">
        <v>27</v>
      </c>
      <c r="C18" s="89">
        <v>60000</v>
      </c>
      <c r="D18" s="20">
        <f t="shared" si="0"/>
        <v>50000</v>
      </c>
      <c r="E18" s="8">
        <v>50000</v>
      </c>
      <c r="F18" s="8"/>
      <c r="G18" s="8"/>
      <c r="H18" s="8"/>
      <c r="I18" s="8"/>
      <c r="J18" s="71"/>
      <c r="K18" s="8">
        <v>50000</v>
      </c>
      <c r="L18" s="8">
        <v>51514</v>
      </c>
      <c r="M18" s="20"/>
      <c r="N18" s="14"/>
      <c r="O18" s="9"/>
    </row>
    <row r="19" spans="1:16">
      <c r="A19" s="5">
        <v>3920</v>
      </c>
      <c r="B19" s="6" t="s">
        <v>28</v>
      </c>
      <c r="C19" s="89">
        <v>111000</v>
      </c>
      <c r="D19" s="20">
        <f t="shared" si="0"/>
        <v>90000</v>
      </c>
      <c r="E19" s="8">
        <v>90000</v>
      </c>
      <c r="F19" s="8"/>
      <c r="G19" s="8"/>
      <c r="H19" s="8"/>
      <c r="I19" s="8"/>
      <c r="J19" s="71"/>
      <c r="K19" s="8">
        <v>60000</v>
      </c>
      <c r="L19" s="8">
        <v>72400</v>
      </c>
      <c r="M19" s="20">
        <v>80000</v>
      </c>
      <c r="N19" s="15">
        <v>0</v>
      </c>
      <c r="O19" s="10">
        <v>300</v>
      </c>
      <c r="P19" s="3" t="s">
        <v>29</v>
      </c>
    </row>
    <row r="20" spans="1:16">
      <c r="A20" s="5">
        <v>3550</v>
      </c>
      <c r="B20" s="6" t="s">
        <v>30</v>
      </c>
      <c r="C20" s="89"/>
      <c r="D20" s="20">
        <f t="shared" si="0"/>
        <v>0</v>
      </c>
      <c r="E20" s="8"/>
      <c r="F20" s="8"/>
      <c r="G20" s="8"/>
      <c r="H20" s="8"/>
      <c r="I20" s="8"/>
      <c r="J20" s="71"/>
      <c r="K20" s="8">
        <v>0</v>
      </c>
      <c r="L20" s="8"/>
      <c r="M20" s="20">
        <v>273000</v>
      </c>
      <c r="N20" s="15"/>
      <c r="O20" s="10"/>
    </row>
    <row r="21" spans="1:16">
      <c r="A21" s="5">
        <v>3551</v>
      </c>
      <c r="B21" s="23" t="s">
        <v>31</v>
      </c>
      <c r="C21" s="9"/>
      <c r="D21" s="20">
        <f t="shared" si="0"/>
        <v>0</v>
      </c>
      <c r="E21" s="8"/>
      <c r="F21" s="8"/>
      <c r="G21" s="8"/>
      <c r="H21" s="8"/>
      <c r="I21" s="8"/>
      <c r="J21" s="71"/>
      <c r="K21" s="8">
        <v>0</v>
      </c>
      <c r="L21" s="8"/>
      <c r="M21" s="20">
        <v>-54000</v>
      </c>
      <c r="N21" s="15"/>
      <c r="O21" s="10"/>
    </row>
    <row r="22" spans="1:16">
      <c r="A22" s="5">
        <v>3980</v>
      </c>
      <c r="B22" s="6" t="s">
        <v>32</v>
      </c>
      <c r="C22" s="89">
        <v>5000</v>
      </c>
      <c r="D22" s="20"/>
      <c r="E22" s="8"/>
      <c r="F22" s="8"/>
      <c r="G22" s="8"/>
      <c r="H22" s="8"/>
      <c r="I22" s="8"/>
      <c r="J22" s="71"/>
      <c r="K22" s="8"/>
      <c r="L22" s="8">
        <v>13600</v>
      </c>
      <c r="M22" s="20"/>
      <c r="N22" s="15"/>
      <c r="O22" s="10"/>
    </row>
    <row r="23" spans="1:16">
      <c r="A23" s="5">
        <v>3981</v>
      </c>
      <c r="B23" s="6" t="s">
        <v>33</v>
      </c>
      <c r="C23" s="89"/>
      <c r="D23" s="20"/>
      <c r="E23" s="8"/>
      <c r="F23" s="8"/>
      <c r="G23" s="8"/>
      <c r="H23" s="8"/>
      <c r="I23" s="8"/>
      <c r="J23" s="71"/>
      <c r="K23" s="8"/>
      <c r="L23" s="8">
        <v>6000</v>
      </c>
      <c r="M23" s="20"/>
      <c r="N23" s="15"/>
      <c r="O23" s="10"/>
    </row>
    <row r="24" spans="1:16">
      <c r="A24" s="5">
        <v>3990</v>
      </c>
      <c r="B24" s="6" t="s">
        <v>34</v>
      </c>
      <c r="C24" s="89">
        <f>30000+48000+36000</f>
        <v>114000</v>
      </c>
      <c r="D24" s="20">
        <f t="shared" si="0"/>
        <v>65000</v>
      </c>
      <c r="E24" s="8">
        <v>65000</v>
      </c>
      <c r="F24" s="8"/>
      <c r="G24" s="8"/>
      <c r="H24" s="8"/>
      <c r="I24" s="8"/>
      <c r="J24" s="71"/>
      <c r="K24" s="8"/>
      <c r="L24" s="8">
        <v>980</v>
      </c>
      <c r="M24" s="20"/>
      <c r="N24" s="15"/>
      <c r="O24" s="10"/>
    </row>
    <row r="25" spans="1:16" ht="30" customHeight="1">
      <c r="A25" s="5">
        <v>3991</v>
      </c>
      <c r="B25" s="6" t="s">
        <v>35</v>
      </c>
      <c r="C25" s="89">
        <v>-80000</v>
      </c>
      <c r="D25" s="20">
        <f t="shared" si="0"/>
        <v>-36000</v>
      </c>
      <c r="E25" s="8"/>
      <c r="F25" s="8"/>
      <c r="G25" s="8"/>
      <c r="H25" s="32">
        <f>-45000*80%</f>
        <v>-36000</v>
      </c>
      <c r="I25" s="32"/>
      <c r="J25" s="72"/>
      <c r="K25" s="31">
        <v>-48000</v>
      </c>
      <c r="L25" s="31"/>
      <c r="M25" s="20"/>
      <c r="N25" s="14">
        <v>272410</v>
      </c>
      <c r="O25" s="9">
        <v>52140</v>
      </c>
    </row>
    <row r="26" spans="1:16" ht="26.4">
      <c r="A26" s="5">
        <v>3998</v>
      </c>
      <c r="B26" s="6" t="s">
        <v>36</v>
      </c>
      <c r="C26" s="89">
        <v>-48440</v>
      </c>
      <c r="D26" s="20">
        <f t="shared" si="0"/>
        <v>-156280</v>
      </c>
      <c r="E26" s="8"/>
      <c r="F26" s="8">
        <f>-60550*80%</f>
        <v>-48440</v>
      </c>
      <c r="G26" s="8">
        <f>-134800*80%</f>
        <v>-107840</v>
      </c>
      <c r="H26" s="31"/>
      <c r="I26" s="31"/>
      <c r="J26" s="73"/>
      <c r="K26" s="31">
        <v>-62840</v>
      </c>
      <c r="L26" s="31">
        <v>-39437</v>
      </c>
      <c r="M26" s="20"/>
      <c r="N26" s="15"/>
      <c r="O26" s="10"/>
    </row>
    <row r="27" spans="1:16" ht="30" customHeight="1">
      <c r="A27" s="5">
        <v>3993</v>
      </c>
      <c r="B27" s="6" t="s">
        <v>37</v>
      </c>
      <c r="C27" s="89">
        <v>-107840</v>
      </c>
      <c r="D27" s="20">
        <f t="shared" si="0"/>
        <v>0</v>
      </c>
      <c r="E27" s="8"/>
      <c r="G27" s="8"/>
      <c r="H27" s="8"/>
      <c r="I27" s="8"/>
      <c r="J27" s="71"/>
      <c r="K27" s="31">
        <v>-109480</v>
      </c>
      <c r="L27" s="31"/>
      <c r="M27" s="20"/>
      <c r="N27" s="15"/>
      <c r="O27" s="10"/>
    </row>
    <row r="28" spans="1:16" ht="30" customHeight="1">
      <c r="A28" s="5">
        <v>3994</v>
      </c>
      <c r="B28" s="6" t="s">
        <v>38</v>
      </c>
      <c r="C28" s="89"/>
      <c r="D28" s="20">
        <f t="shared" si="0"/>
        <v>0</v>
      </c>
      <c r="E28" s="8">
        <f>-SUM(F28:H28)</f>
        <v>48070</v>
      </c>
      <c r="F28" s="8">
        <f>F26/4</f>
        <v>-12110</v>
      </c>
      <c r="G28" s="8">
        <f>G26/4</f>
        <v>-26960</v>
      </c>
      <c r="H28" s="8">
        <f>H25/4</f>
        <v>-9000</v>
      </c>
      <c r="I28" s="8"/>
      <c r="J28" s="71"/>
      <c r="K28" s="31">
        <v>0</v>
      </c>
      <c r="L28" s="31"/>
      <c r="M28" s="20"/>
      <c r="N28" s="14"/>
      <c r="O28" s="9"/>
    </row>
    <row r="29" spans="1:16" ht="30" customHeight="1">
      <c r="A29" s="5">
        <v>3995</v>
      </c>
      <c r="B29" s="6" t="s">
        <v>39</v>
      </c>
      <c r="C29" s="89">
        <v>-80000</v>
      </c>
      <c r="D29" s="20">
        <f t="shared" si="0"/>
        <v>-60000</v>
      </c>
      <c r="E29" s="8">
        <v>-60000</v>
      </c>
      <c r="F29" s="8"/>
      <c r="G29" s="8"/>
      <c r="H29" s="8"/>
      <c r="I29" s="8"/>
      <c r="J29" s="71"/>
      <c r="K29" s="31">
        <v>-60000</v>
      </c>
      <c r="L29" s="31">
        <v>-70000</v>
      </c>
      <c r="M29" s="20"/>
      <c r="N29" s="34">
        <v>-53474</v>
      </c>
      <c r="O29" s="9"/>
    </row>
    <row r="30" spans="1:16" s="47" customFormat="1" ht="30" customHeight="1">
      <c r="A30" s="59">
        <v>3996</v>
      </c>
      <c r="B30" s="60" t="s">
        <v>40</v>
      </c>
      <c r="C30" s="90">
        <v>0</v>
      </c>
      <c r="D30" s="22">
        <f t="shared" si="0"/>
        <v>0</v>
      </c>
      <c r="E30" s="33"/>
      <c r="F30" s="33"/>
      <c r="G30" s="33"/>
      <c r="H30" s="33"/>
      <c r="I30" s="33"/>
      <c r="J30" s="74"/>
      <c r="K30" s="61">
        <v>-50000</v>
      </c>
      <c r="L30" s="61"/>
      <c r="M30" s="22"/>
      <c r="N30" s="34"/>
      <c r="O30" s="62"/>
    </row>
    <row r="31" spans="1:16">
      <c r="A31" s="1"/>
      <c r="B31" s="2" t="s">
        <v>41</v>
      </c>
      <c r="C31" s="91">
        <f>SUM(C3:C30)</f>
        <v>844720</v>
      </c>
      <c r="D31" s="21">
        <f t="shared" ref="D31:I31" si="1">SUM(D3:D30)</f>
        <v>657720</v>
      </c>
      <c r="E31" s="21">
        <f t="shared" si="1"/>
        <v>348070</v>
      </c>
      <c r="F31" s="21">
        <f t="shared" si="1"/>
        <v>74450</v>
      </c>
      <c r="G31" s="21">
        <f t="shared" si="1"/>
        <v>160200</v>
      </c>
      <c r="H31" s="21">
        <f t="shared" si="1"/>
        <v>25000</v>
      </c>
      <c r="I31" s="21">
        <f t="shared" si="1"/>
        <v>50000</v>
      </c>
      <c r="J31" s="75"/>
      <c r="K31" s="21">
        <v>678680</v>
      </c>
      <c r="L31" s="21">
        <f>SUM(L3:L30)</f>
        <v>399905</v>
      </c>
      <c r="M31" s="21">
        <f>SUM(M3:M30)</f>
        <v>746000</v>
      </c>
      <c r="N31" s="17">
        <f>SUM(N3:N30)</f>
        <v>664914.44999999995</v>
      </c>
      <c r="O31" s="17">
        <f>SUM(O3:O30)</f>
        <v>1131349.4300000002</v>
      </c>
    </row>
    <row r="32" spans="1:16">
      <c r="A32" s="5">
        <v>3600</v>
      </c>
      <c r="B32" s="6" t="s">
        <v>42</v>
      </c>
      <c r="C32" s="89"/>
      <c r="D32" s="20">
        <f t="shared" si="0"/>
        <v>0</v>
      </c>
      <c r="E32" s="8"/>
      <c r="F32" s="8"/>
      <c r="G32" s="8"/>
      <c r="H32" s="8"/>
      <c r="I32" s="8"/>
      <c r="J32" s="71"/>
      <c r="K32" s="8">
        <v>0</v>
      </c>
      <c r="L32" s="8"/>
      <c r="M32" s="20">
        <v>118000</v>
      </c>
      <c r="N32" s="14">
        <v>118400</v>
      </c>
      <c r="O32" s="10">
        <v>0</v>
      </c>
    </row>
    <row r="33" spans="1:15">
      <c r="A33" s="5">
        <v>3605</v>
      </c>
      <c r="B33" s="6" t="s">
        <v>43</v>
      </c>
      <c r="C33" s="89"/>
      <c r="D33" s="20">
        <f t="shared" si="0"/>
        <v>0</v>
      </c>
      <c r="E33" s="8"/>
      <c r="F33" s="8"/>
      <c r="G33" s="8"/>
      <c r="H33" s="8"/>
      <c r="I33" s="8"/>
      <c r="J33" s="71"/>
      <c r="K33" s="8">
        <v>0</v>
      </c>
      <c r="L33" s="8"/>
      <c r="M33" s="20"/>
      <c r="N33" s="15">
        <v>0</v>
      </c>
      <c r="O33" s="9">
        <v>95000</v>
      </c>
    </row>
    <row r="34" spans="1:15">
      <c r="A34" s="5">
        <v>3900</v>
      </c>
      <c r="B34" s="6" t="s">
        <v>34</v>
      </c>
      <c r="C34" s="89"/>
      <c r="D34" s="20">
        <f t="shared" si="0"/>
        <v>0</v>
      </c>
      <c r="E34" s="8"/>
      <c r="F34" s="8"/>
      <c r="G34" s="8"/>
      <c r="H34" s="8"/>
      <c r="I34" s="8"/>
      <c r="J34" s="71"/>
      <c r="K34" s="8">
        <v>0</v>
      </c>
      <c r="L34" s="8"/>
      <c r="M34" s="20">
        <v>30000</v>
      </c>
      <c r="N34" s="14">
        <v>38556.61</v>
      </c>
      <c r="O34" s="9">
        <v>22948.77</v>
      </c>
    </row>
    <row r="35" spans="1:15" s="47" customFormat="1">
      <c r="A35" s="59">
        <v>3980</v>
      </c>
      <c r="B35" s="60" t="s">
        <v>32</v>
      </c>
      <c r="C35" s="90"/>
      <c r="D35" s="22">
        <f t="shared" si="0"/>
        <v>0</v>
      </c>
      <c r="E35" s="33"/>
      <c r="F35" s="33"/>
      <c r="G35" s="33"/>
      <c r="H35" s="33"/>
      <c r="I35" s="33"/>
      <c r="J35" s="74"/>
      <c r="K35" s="33">
        <v>26500</v>
      </c>
      <c r="L35" s="33"/>
      <c r="M35" s="22"/>
      <c r="N35" s="63">
        <v>877.41</v>
      </c>
      <c r="O35" s="35">
        <v>0</v>
      </c>
    </row>
    <row r="36" spans="1:15" s="66" customFormat="1">
      <c r="A36" s="64"/>
      <c r="B36" s="65" t="s">
        <v>44</v>
      </c>
      <c r="C36" s="92"/>
      <c r="D36" s="36">
        <f t="shared" ref="D36:M36" si="2">SUM(D32:D35)</f>
        <v>0</v>
      </c>
      <c r="E36" s="36">
        <f t="shared" si="2"/>
        <v>0</v>
      </c>
      <c r="F36" s="36">
        <f t="shared" si="2"/>
        <v>0</v>
      </c>
      <c r="G36" s="36">
        <f t="shared" si="2"/>
        <v>0</v>
      </c>
      <c r="H36" s="36">
        <f t="shared" si="2"/>
        <v>0</v>
      </c>
      <c r="I36" s="36">
        <f t="shared" ref="I36" si="3">SUM(I32:I35)</f>
        <v>0</v>
      </c>
      <c r="J36" s="76"/>
      <c r="K36" s="36">
        <v>26500</v>
      </c>
      <c r="L36" s="36">
        <f t="shared" ref="L36" si="4">SUM(L32:L35)</f>
        <v>0</v>
      </c>
      <c r="M36" s="36">
        <f t="shared" si="2"/>
        <v>148000</v>
      </c>
      <c r="N36" s="37">
        <v>170684.02</v>
      </c>
      <c r="O36" s="38">
        <v>229197.54</v>
      </c>
    </row>
    <row r="37" spans="1:15" s="68" customFormat="1">
      <c r="A37" s="67"/>
      <c r="B37" s="65" t="s">
        <v>45</v>
      </c>
      <c r="C37" s="92">
        <f>C31+C36</f>
        <v>844720</v>
      </c>
      <c r="D37" s="36">
        <f t="shared" ref="D37:O37" si="5">D36+D31</f>
        <v>657720</v>
      </c>
      <c r="E37" s="36">
        <f t="shared" si="5"/>
        <v>348070</v>
      </c>
      <c r="F37" s="36">
        <f t="shared" si="5"/>
        <v>74450</v>
      </c>
      <c r="G37" s="36">
        <f t="shared" si="5"/>
        <v>160200</v>
      </c>
      <c r="H37" s="36">
        <f t="shared" si="5"/>
        <v>25000</v>
      </c>
      <c r="I37" s="36">
        <f t="shared" ref="I37" si="6">I36+I31</f>
        <v>50000</v>
      </c>
      <c r="J37" s="76"/>
      <c r="K37" s="36">
        <v>705180</v>
      </c>
      <c r="L37" s="36">
        <f t="shared" ref="L37" si="7">L36+L31</f>
        <v>399905</v>
      </c>
      <c r="M37" s="36">
        <f t="shared" si="5"/>
        <v>894000</v>
      </c>
      <c r="N37" s="36">
        <f t="shared" si="5"/>
        <v>835598.47</v>
      </c>
      <c r="O37" s="36">
        <f t="shared" si="5"/>
        <v>1360546.9700000002</v>
      </c>
    </row>
    <row r="38" spans="1:15">
      <c r="A38" s="1"/>
      <c r="B38" s="2"/>
      <c r="C38" s="91"/>
      <c r="D38" s="21"/>
      <c r="E38" s="17"/>
      <c r="F38" s="17"/>
      <c r="G38" s="17"/>
      <c r="H38" s="17"/>
      <c r="I38" s="17"/>
      <c r="J38" s="77"/>
      <c r="K38" s="17"/>
      <c r="L38" s="17"/>
      <c r="M38" s="21"/>
      <c r="N38" s="17"/>
      <c r="O38" s="17"/>
    </row>
    <row r="39" spans="1:15" s="53" customFormat="1" ht="16.2" thickBot="1">
      <c r="A39" s="48"/>
      <c r="B39" s="49" t="s">
        <v>46</v>
      </c>
      <c r="C39" s="93"/>
      <c r="D39" s="50"/>
      <c r="E39" s="51"/>
      <c r="F39" s="51"/>
      <c r="G39" s="51"/>
      <c r="H39" s="51"/>
      <c r="I39" s="51"/>
      <c r="J39" s="78"/>
      <c r="K39" s="51"/>
      <c r="L39" s="51"/>
      <c r="M39" s="50"/>
      <c r="N39" s="52"/>
      <c r="O39" s="52"/>
    </row>
    <row r="40" spans="1:15">
      <c r="A40" s="5">
        <v>4311</v>
      </c>
      <c r="B40" s="6" t="s">
        <v>47</v>
      </c>
      <c r="C40" s="89">
        <v>154000</v>
      </c>
      <c r="D40" s="20">
        <f t="shared" ref="C40:D40" si="8">SUM(E40:I40)</f>
        <v>154000</v>
      </c>
      <c r="E40" s="8"/>
      <c r="F40" s="32">
        <v>32000</v>
      </c>
      <c r="G40" s="82">
        <v>122000</v>
      </c>
      <c r="H40" s="8"/>
      <c r="I40" s="8"/>
      <c r="J40" s="71"/>
      <c r="K40" s="8">
        <v>153500</v>
      </c>
      <c r="L40" s="8"/>
      <c r="M40" s="20"/>
      <c r="N40" s="12"/>
      <c r="O40" s="12"/>
    </row>
    <row r="41" spans="1:15">
      <c r="A41" s="1"/>
      <c r="B41" s="2" t="s">
        <v>48</v>
      </c>
      <c r="C41" s="91">
        <f>C40</f>
        <v>154000</v>
      </c>
      <c r="D41" s="21">
        <f>SUM(D40:D40)</f>
        <v>154000</v>
      </c>
      <c r="E41" s="21">
        <f t="shared" ref="E41:I41" si="9">SUM(E40:E40)</f>
        <v>0</v>
      </c>
      <c r="F41" s="21">
        <f t="shared" si="9"/>
        <v>32000</v>
      </c>
      <c r="G41" s="21">
        <f t="shared" si="9"/>
        <v>122000</v>
      </c>
      <c r="H41" s="21">
        <f t="shared" si="9"/>
        <v>0</v>
      </c>
      <c r="I41" s="21">
        <f t="shared" si="9"/>
        <v>0</v>
      </c>
      <c r="J41" s="75"/>
      <c r="K41" s="21">
        <v>153500</v>
      </c>
      <c r="L41" s="21">
        <f t="shared" ref="L41" si="10">SUM(L40:L40)</f>
        <v>0</v>
      </c>
      <c r="M41" s="20"/>
      <c r="N41" s="12"/>
      <c r="O41" s="12"/>
    </row>
    <row r="42" spans="1:15">
      <c r="A42" s="1"/>
      <c r="B42" s="2"/>
      <c r="C42" s="91"/>
      <c r="D42" s="20"/>
      <c r="E42" s="8"/>
      <c r="F42" s="8"/>
      <c r="G42" s="8"/>
      <c r="H42" s="8"/>
      <c r="I42" s="8"/>
      <c r="J42" s="71"/>
      <c r="K42" s="8"/>
      <c r="L42" s="8"/>
      <c r="M42" s="20"/>
      <c r="N42" s="12"/>
      <c r="O42" s="12"/>
    </row>
    <row r="43" spans="1:15">
      <c r="A43" s="5">
        <v>5000</v>
      </c>
      <c r="B43" s="6" t="s">
        <v>49</v>
      </c>
      <c r="C43" s="89">
        <f>(17900*11)*1.04</f>
        <v>204776</v>
      </c>
      <c r="D43" s="20">
        <f t="shared" ref="C43:D51" si="11">SUM(E43:I43)</f>
        <v>202289.49999999997</v>
      </c>
      <c r="E43" s="8">
        <f>199300*1.015</f>
        <v>202289.49999999997</v>
      </c>
      <c r="F43" s="8"/>
      <c r="G43" s="8"/>
      <c r="H43" s="8"/>
      <c r="I43" s="8"/>
      <c r="J43" s="71"/>
      <c r="K43" s="8">
        <v>199300</v>
      </c>
      <c r="L43" s="8">
        <v>197588</v>
      </c>
      <c r="M43" s="20"/>
      <c r="N43" s="19">
        <v>0</v>
      </c>
      <c r="O43" s="10">
        <v>0</v>
      </c>
    </row>
    <row r="44" spans="1:15">
      <c r="A44" s="5">
        <v>5003</v>
      </c>
      <c r="B44" s="6" t="s">
        <v>50</v>
      </c>
      <c r="C44" s="89">
        <v>75500</v>
      </c>
      <c r="D44" s="20">
        <f t="shared" si="11"/>
        <v>60000</v>
      </c>
      <c r="E44" s="8">
        <v>60000</v>
      </c>
      <c r="F44" s="8"/>
      <c r="G44" s="8"/>
      <c r="H44" s="8"/>
      <c r="I44" s="8"/>
      <c r="J44" s="71"/>
      <c r="K44" s="8">
        <v>50000</v>
      </c>
      <c r="L44" s="8">
        <v>56606</v>
      </c>
      <c r="M44" s="20"/>
      <c r="N44" s="19"/>
      <c r="O44" s="10"/>
    </row>
    <row r="45" spans="1:15">
      <c r="A45" s="5">
        <v>5010</v>
      </c>
      <c r="B45" s="6" t="s">
        <v>51</v>
      </c>
      <c r="C45" s="89"/>
      <c r="D45" s="20"/>
      <c r="E45" s="8"/>
      <c r="F45" s="8"/>
      <c r="G45" s="8"/>
      <c r="H45" s="8"/>
      <c r="I45" s="8"/>
      <c r="J45" s="71"/>
      <c r="K45" s="8"/>
      <c r="L45" s="8">
        <v>3500</v>
      </c>
      <c r="M45" s="20"/>
      <c r="N45" s="19"/>
      <c r="O45" s="10"/>
    </row>
    <row r="46" spans="1:15">
      <c r="A46" s="5">
        <v>5090</v>
      </c>
      <c r="B46" s="6" t="s">
        <v>52</v>
      </c>
      <c r="C46" s="89"/>
      <c r="D46" s="20">
        <f t="shared" si="11"/>
        <v>0</v>
      </c>
      <c r="E46" s="8"/>
      <c r="F46" s="8"/>
      <c r="G46" s="8"/>
      <c r="H46" s="8"/>
      <c r="I46" s="8"/>
      <c r="J46" s="71"/>
      <c r="K46" s="8">
        <v>0</v>
      </c>
      <c r="L46" s="8"/>
      <c r="M46" s="20"/>
      <c r="N46" s="19">
        <v>0</v>
      </c>
      <c r="O46" s="10">
        <v>0</v>
      </c>
    </row>
    <row r="47" spans="1:15">
      <c r="A47" s="5">
        <v>5092</v>
      </c>
      <c r="B47" s="6" t="s">
        <v>53</v>
      </c>
      <c r="C47" s="89">
        <f>C43*0.102</f>
        <v>20887.151999999998</v>
      </c>
      <c r="D47" s="20">
        <f t="shared" si="11"/>
        <v>25286.187499999996</v>
      </c>
      <c r="E47" s="8">
        <f>E43*12.5%</f>
        <v>25286.187499999996</v>
      </c>
      <c r="F47" s="8"/>
      <c r="G47" s="8"/>
      <c r="H47" s="8"/>
      <c r="I47" s="8"/>
      <c r="J47" s="71"/>
      <c r="K47" s="8">
        <v>20329</v>
      </c>
      <c r="L47" s="8">
        <v>20156</v>
      </c>
      <c r="M47" s="20"/>
      <c r="N47" s="19">
        <v>0</v>
      </c>
      <c r="O47" s="10">
        <v>0</v>
      </c>
    </row>
    <row r="48" spans="1:15">
      <c r="A48" s="5">
        <v>5098</v>
      </c>
      <c r="B48" s="6" t="s">
        <v>54</v>
      </c>
      <c r="C48" s="89">
        <v>-50000</v>
      </c>
      <c r="D48" s="20">
        <f t="shared" si="11"/>
        <v>-32000</v>
      </c>
      <c r="E48" s="8">
        <v>-32000</v>
      </c>
      <c r="F48" s="8"/>
      <c r="G48" s="8"/>
      <c r="H48" s="8"/>
      <c r="I48" s="8"/>
      <c r="J48" s="71"/>
      <c r="K48" s="8">
        <v>-32000</v>
      </c>
      <c r="L48" s="8">
        <v>-33211</v>
      </c>
      <c r="M48" s="20"/>
      <c r="N48" s="19"/>
      <c r="O48" s="10"/>
    </row>
    <row r="49" spans="1:16">
      <c r="A49" s="5">
        <v>5400</v>
      </c>
      <c r="B49" s="6" t="s">
        <v>55</v>
      </c>
      <c r="C49" s="89">
        <f>C43*0.141</f>
        <v>28873.415999999997</v>
      </c>
      <c r="D49" s="20">
        <f t="shared" si="11"/>
        <v>28522.819499999994</v>
      </c>
      <c r="E49" s="8">
        <f>E43*14.1%</f>
        <v>28522.819499999994</v>
      </c>
      <c r="F49" s="8"/>
      <c r="G49" s="8"/>
      <c r="H49" s="8"/>
      <c r="I49" s="8"/>
      <c r="J49" s="71"/>
      <c r="K49" s="8">
        <v>28101</v>
      </c>
      <c r="L49" s="8">
        <v>27854</v>
      </c>
      <c r="M49" s="20"/>
      <c r="N49" s="19">
        <v>0</v>
      </c>
      <c r="O49" s="10">
        <v>0</v>
      </c>
    </row>
    <row r="50" spans="1:16">
      <c r="A50" s="5">
        <v>5405</v>
      </c>
      <c r="B50" s="6" t="s">
        <v>56</v>
      </c>
      <c r="C50" s="89">
        <f>C49*0.141</f>
        <v>4071.1516559999991</v>
      </c>
      <c r="D50" s="20">
        <f t="shared" si="11"/>
        <v>3565.3524374999993</v>
      </c>
      <c r="E50" s="8">
        <f>E47*14.1%</f>
        <v>3565.3524374999993</v>
      </c>
      <c r="F50" s="8"/>
      <c r="G50" s="8"/>
      <c r="H50" s="8"/>
      <c r="I50" s="8"/>
      <c r="J50" s="71"/>
      <c r="K50" s="8">
        <v>2866</v>
      </c>
      <c r="L50" s="8"/>
      <c r="M50" s="20"/>
      <c r="N50" s="19">
        <v>0</v>
      </c>
      <c r="O50" s="10">
        <v>0</v>
      </c>
    </row>
    <row r="51" spans="1:16">
      <c r="A51" s="5"/>
      <c r="B51" s="6" t="s">
        <v>57</v>
      </c>
      <c r="C51" s="89"/>
      <c r="D51" s="20">
        <f t="shared" si="11"/>
        <v>0</v>
      </c>
      <c r="E51" s="8"/>
      <c r="F51" s="8"/>
      <c r="G51" s="8"/>
      <c r="H51" s="8"/>
      <c r="I51" s="8"/>
      <c r="J51" s="71"/>
      <c r="K51" s="8">
        <v>0</v>
      </c>
      <c r="L51" s="8"/>
      <c r="M51" s="20">
        <v>15000</v>
      </c>
      <c r="N51" s="15"/>
      <c r="O51" s="10"/>
    </row>
    <row r="52" spans="1:16">
      <c r="A52" s="1"/>
      <c r="B52" s="2" t="s">
        <v>58</v>
      </c>
      <c r="C52" s="91">
        <f>SUM(C43:C50)</f>
        <v>284107.71965599997</v>
      </c>
      <c r="D52" s="21">
        <f t="shared" ref="D52:I52" si="12">SUM(D43:D51)</f>
        <v>287663.85943750001</v>
      </c>
      <c r="E52" s="21">
        <f t="shared" si="12"/>
        <v>287663.85943750001</v>
      </c>
      <c r="F52" s="21">
        <f t="shared" si="12"/>
        <v>0</v>
      </c>
      <c r="G52" s="21">
        <f t="shared" si="12"/>
        <v>0</v>
      </c>
      <c r="H52" s="21">
        <f t="shared" si="12"/>
        <v>0</v>
      </c>
      <c r="I52" s="21">
        <f t="shared" si="12"/>
        <v>0</v>
      </c>
      <c r="J52" s="75"/>
      <c r="K52" s="21">
        <v>268596</v>
      </c>
      <c r="L52" s="21">
        <f>SUM(L43:L51)</f>
        <v>272493</v>
      </c>
      <c r="M52" s="21">
        <f>SUM(M43:M51)</f>
        <v>15000</v>
      </c>
      <c r="N52" s="17">
        <f>SUM(N43:N51)</f>
        <v>0</v>
      </c>
      <c r="O52" s="10">
        <v>0</v>
      </c>
    </row>
    <row r="53" spans="1:16" s="27" customFormat="1">
      <c r="A53" s="24"/>
      <c r="B53" s="2" t="s">
        <v>59</v>
      </c>
      <c r="C53" s="91"/>
      <c r="D53" s="21"/>
      <c r="E53" s="17"/>
      <c r="F53" s="17"/>
      <c r="G53" s="17"/>
      <c r="H53" s="17"/>
      <c r="I53" s="17"/>
      <c r="J53" s="77"/>
      <c r="K53" s="17"/>
      <c r="L53" s="17"/>
      <c r="M53" s="21"/>
      <c r="N53" s="25">
        <v>0</v>
      </c>
      <c r="O53" s="26">
        <v>0</v>
      </c>
    </row>
    <row r="54" spans="1:16">
      <c r="A54" s="5">
        <v>6110</v>
      </c>
      <c r="B54" s="6" t="s">
        <v>60</v>
      </c>
      <c r="C54" s="89"/>
      <c r="D54" s="20">
        <f t="shared" ref="C54:D54" si="13">SUM(E54:I54)</f>
        <v>0</v>
      </c>
      <c r="E54" s="8"/>
      <c r="F54" s="8"/>
      <c r="G54" s="8"/>
      <c r="H54" s="8"/>
      <c r="I54" s="8"/>
      <c r="J54" s="71"/>
      <c r="K54" s="8">
        <v>0</v>
      </c>
      <c r="L54" s="8"/>
      <c r="M54" s="20"/>
      <c r="N54" s="15">
        <v>93.75</v>
      </c>
      <c r="O54" s="10">
        <v>0</v>
      </c>
    </row>
    <row r="55" spans="1:16" s="27" customFormat="1">
      <c r="A55" s="24"/>
      <c r="B55" s="2" t="s">
        <v>61</v>
      </c>
      <c r="C55" s="91"/>
      <c r="D55" s="21"/>
      <c r="E55" s="17"/>
      <c r="F55" s="17"/>
      <c r="G55" s="17"/>
      <c r="H55" s="17"/>
      <c r="I55" s="17"/>
      <c r="J55" s="77"/>
      <c r="K55" s="17"/>
      <c r="L55" s="17"/>
      <c r="M55" s="21"/>
      <c r="N55" s="25">
        <v>93.75</v>
      </c>
      <c r="O55" s="26">
        <v>0</v>
      </c>
    </row>
    <row r="56" spans="1:16">
      <c r="A56" s="5">
        <v>6300</v>
      </c>
      <c r="B56" s="6" t="s">
        <v>62</v>
      </c>
      <c r="C56" s="89">
        <f>160000+84000</f>
        <v>244000</v>
      </c>
      <c r="D56" s="20">
        <f t="shared" ref="C56:D60" si="14">SUM(E56:I56)</f>
        <v>160000</v>
      </c>
      <c r="E56" s="8">
        <v>160000</v>
      </c>
      <c r="F56" s="8"/>
      <c r="G56" s="8"/>
      <c r="H56" s="8"/>
      <c r="I56" s="8"/>
      <c r="J56" s="71"/>
      <c r="K56" s="8">
        <v>160000</v>
      </c>
      <c r="L56" s="8">
        <v>120000</v>
      </c>
      <c r="M56" s="20">
        <v>120000</v>
      </c>
      <c r="N56" s="14">
        <v>130000</v>
      </c>
      <c r="O56" s="9">
        <v>111835</v>
      </c>
    </row>
    <row r="57" spans="1:16">
      <c r="A57" s="5">
        <v>6320</v>
      </c>
      <c r="B57" s="6" t="s">
        <v>63</v>
      </c>
      <c r="C57" s="89"/>
      <c r="D57" s="20">
        <f t="shared" si="14"/>
        <v>5000</v>
      </c>
      <c r="E57" s="8">
        <v>5000</v>
      </c>
      <c r="F57" s="8"/>
      <c r="G57" s="8"/>
      <c r="H57" s="8"/>
      <c r="I57" s="8"/>
      <c r="J57" s="71"/>
      <c r="K57" s="8">
        <v>5000</v>
      </c>
      <c r="L57" s="8"/>
      <c r="M57" s="20">
        <v>16000</v>
      </c>
      <c r="N57" s="14">
        <v>16025</v>
      </c>
      <c r="O57" s="10">
        <v>0</v>
      </c>
    </row>
    <row r="58" spans="1:16">
      <c r="A58" s="5">
        <v>6340</v>
      </c>
      <c r="B58" s="6" t="s">
        <v>64</v>
      </c>
      <c r="C58" s="89">
        <f>2000*12</f>
        <v>24000</v>
      </c>
      <c r="D58" s="20">
        <f t="shared" si="14"/>
        <v>3000</v>
      </c>
      <c r="E58" s="8"/>
      <c r="F58" s="8"/>
      <c r="G58" s="8">
        <v>3000</v>
      </c>
      <c r="H58" s="8"/>
      <c r="I58" s="8"/>
      <c r="J58" s="71"/>
      <c r="K58" s="8">
        <v>3000</v>
      </c>
      <c r="L58" s="8"/>
      <c r="M58" s="20"/>
      <c r="N58" s="14"/>
      <c r="O58" s="10"/>
    </row>
    <row r="59" spans="1:16">
      <c r="A59" s="5">
        <v>6360</v>
      </c>
      <c r="B59" s="6" t="s">
        <v>65</v>
      </c>
      <c r="C59" s="89"/>
      <c r="D59" s="20">
        <f t="shared" si="14"/>
        <v>0</v>
      </c>
      <c r="E59" s="8"/>
      <c r="F59" s="8"/>
      <c r="G59" s="8"/>
      <c r="H59" s="8"/>
      <c r="I59" s="8"/>
      <c r="J59" s="71"/>
      <c r="K59" s="8">
        <v>0</v>
      </c>
      <c r="L59" s="8"/>
      <c r="M59" s="20">
        <v>1000</v>
      </c>
      <c r="N59" s="15">
        <v>600</v>
      </c>
      <c r="O59" s="10">
        <v>0</v>
      </c>
    </row>
    <row r="60" spans="1:16">
      <c r="A60" s="5">
        <v>6395</v>
      </c>
      <c r="B60" s="6" t="s">
        <v>66</v>
      </c>
      <c r="C60" s="89">
        <v>-114000</v>
      </c>
      <c r="D60" s="20">
        <f t="shared" si="14"/>
        <v>-148400</v>
      </c>
      <c r="E60" s="8">
        <v>-148400</v>
      </c>
      <c r="F60" s="8"/>
      <c r="G60" s="8"/>
      <c r="H60" s="8"/>
      <c r="I60" s="8"/>
      <c r="J60" s="71"/>
      <c r="K60" s="8">
        <v>-148400</v>
      </c>
      <c r="L60" s="8">
        <v>-114100</v>
      </c>
      <c r="M60" s="20">
        <v>1000</v>
      </c>
      <c r="N60" s="15">
        <v>600</v>
      </c>
      <c r="O60" s="10">
        <v>0</v>
      </c>
    </row>
    <row r="61" spans="1:16">
      <c r="A61" s="1"/>
      <c r="B61" s="2" t="s">
        <v>67</v>
      </c>
      <c r="C61" s="91">
        <f>SUM(C56:C60)</f>
        <v>154000</v>
      </c>
      <c r="D61" s="21">
        <f>SUM(D56:D60)</f>
        <v>19600</v>
      </c>
      <c r="E61" s="21">
        <f t="shared" ref="E61:I61" si="15">SUM(E56:E60)</f>
        <v>16600</v>
      </c>
      <c r="F61" s="21">
        <f t="shared" si="15"/>
        <v>0</v>
      </c>
      <c r="G61" s="21">
        <f t="shared" si="15"/>
        <v>3000</v>
      </c>
      <c r="H61" s="21">
        <f t="shared" si="15"/>
        <v>0</v>
      </c>
      <c r="I61" s="21">
        <f t="shared" si="15"/>
        <v>0</v>
      </c>
      <c r="J61" s="75"/>
      <c r="K61" s="21">
        <v>19600</v>
      </c>
      <c r="L61" s="21">
        <f t="shared" ref="L61" si="16">SUM(L56:L60)</f>
        <v>5900</v>
      </c>
      <c r="M61" s="21">
        <f>SUM(M56:M60)</f>
        <v>138000</v>
      </c>
      <c r="N61" s="14">
        <v>146625</v>
      </c>
      <c r="O61" s="9">
        <v>111835</v>
      </c>
    </row>
    <row r="62" spans="1:16">
      <c r="A62" s="5">
        <v>6420</v>
      </c>
      <c r="B62" s="6" t="s">
        <v>68</v>
      </c>
      <c r="C62" s="89">
        <v>12000</v>
      </c>
      <c r="D62" s="20">
        <f t="shared" ref="C62:D64" si="17">SUM(E62:I62)</f>
        <v>0</v>
      </c>
      <c r="E62" s="8"/>
      <c r="F62" s="8"/>
      <c r="G62" s="8"/>
      <c r="H62" s="8"/>
      <c r="I62" s="8"/>
      <c r="J62" s="71"/>
      <c r="K62" s="8">
        <v>0</v>
      </c>
      <c r="L62" s="8"/>
      <c r="M62" s="20">
        <v>20000</v>
      </c>
      <c r="N62" s="14">
        <v>1324.8</v>
      </c>
      <c r="O62" s="9">
        <v>5951.3</v>
      </c>
      <c r="P62" s="3" t="s">
        <v>69</v>
      </c>
    </row>
    <row r="63" spans="1:16">
      <c r="A63" s="5">
        <v>6430</v>
      </c>
      <c r="B63" s="6" t="s">
        <v>70</v>
      </c>
      <c r="C63" s="89"/>
      <c r="D63" s="20">
        <f t="shared" si="17"/>
        <v>0</v>
      </c>
      <c r="E63" s="8"/>
      <c r="F63" s="8"/>
      <c r="G63" s="8"/>
      <c r="H63" s="8"/>
      <c r="I63" s="8"/>
      <c r="J63" s="71"/>
      <c r="K63" s="8">
        <v>0</v>
      </c>
      <c r="L63" s="8"/>
      <c r="M63" s="20"/>
      <c r="N63" s="15">
        <v>0</v>
      </c>
      <c r="O63" s="9">
        <v>1007.51</v>
      </c>
    </row>
    <row r="64" spans="1:16">
      <c r="A64" s="5">
        <v>6490</v>
      </c>
      <c r="B64" s="6" t="s">
        <v>71</v>
      </c>
      <c r="C64" s="89">
        <v>6500</v>
      </c>
      <c r="D64" s="20">
        <f t="shared" si="17"/>
        <v>37000</v>
      </c>
      <c r="E64" s="8">
        <v>7000</v>
      </c>
      <c r="F64" s="8"/>
      <c r="G64" s="8">
        <v>30000</v>
      </c>
      <c r="H64" s="8"/>
      <c r="I64" s="8"/>
      <c r="J64" s="71"/>
      <c r="K64" s="8">
        <v>35000</v>
      </c>
      <c r="L64" s="8">
        <v>6103</v>
      </c>
      <c r="M64" s="20">
        <v>20000</v>
      </c>
      <c r="N64" s="14">
        <v>38753</v>
      </c>
      <c r="O64" s="9">
        <v>6762.55</v>
      </c>
    </row>
    <row r="65" spans="1:16">
      <c r="A65" s="1"/>
      <c r="B65" s="2" t="s">
        <v>72</v>
      </c>
      <c r="C65" s="91">
        <f>SUM(C62:C64)</f>
        <v>18500</v>
      </c>
      <c r="D65" s="21">
        <f>SUM(D62:D64)</f>
        <v>37000</v>
      </c>
      <c r="E65" s="21">
        <f t="shared" ref="E65:I65" si="18">SUM(E62:E64)</f>
        <v>7000</v>
      </c>
      <c r="F65" s="21">
        <f t="shared" si="18"/>
        <v>0</v>
      </c>
      <c r="G65" s="21">
        <f t="shared" si="18"/>
        <v>30000</v>
      </c>
      <c r="H65" s="21">
        <f t="shared" si="18"/>
        <v>0</v>
      </c>
      <c r="I65" s="21">
        <f t="shared" si="18"/>
        <v>0</v>
      </c>
      <c r="J65" s="75"/>
      <c r="K65" s="21">
        <v>35000</v>
      </c>
      <c r="L65" s="21">
        <f t="shared" ref="L65" si="19">SUM(L62:L64)</f>
        <v>6103</v>
      </c>
      <c r="M65" s="21">
        <f>SUM(M62:M64)</f>
        <v>40000</v>
      </c>
      <c r="N65" s="14">
        <v>40077.800000000003</v>
      </c>
      <c r="O65" s="9">
        <v>13721.36</v>
      </c>
    </row>
    <row r="66" spans="1:16">
      <c r="A66" s="5">
        <v>6540</v>
      </c>
      <c r="B66" s="6" t="s">
        <v>73</v>
      </c>
      <c r="C66" s="89"/>
      <c r="D66" s="20">
        <f t="shared" ref="C66:D72" si="20">SUM(E66:I66)</f>
        <v>0</v>
      </c>
      <c r="E66" s="8"/>
      <c r="F66" s="8"/>
      <c r="G66" s="8"/>
      <c r="H66" s="8"/>
      <c r="I66" s="8"/>
      <c r="J66" s="71"/>
      <c r="K66" s="8">
        <v>0</v>
      </c>
      <c r="L66" s="8"/>
      <c r="M66" s="20">
        <v>2000</v>
      </c>
      <c r="N66" s="15">
        <v>0</v>
      </c>
      <c r="O66" s="9">
        <v>3083</v>
      </c>
    </row>
    <row r="67" spans="1:16">
      <c r="A67" s="5">
        <v>6545</v>
      </c>
      <c r="B67" s="6" t="s">
        <v>74</v>
      </c>
      <c r="C67" s="89"/>
      <c r="D67" s="20">
        <f t="shared" si="20"/>
        <v>15000</v>
      </c>
      <c r="E67" s="8">
        <v>10000</v>
      </c>
      <c r="F67" s="8"/>
      <c r="G67" s="8">
        <v>5000</v>
      </c>
      <c r="H67" s="8"/>
      <c r="I67" s="8"/>
      <c r="J67" s="71"/>
      <c r="K67" s="8">
        <v>70000</v>
      </c>
      <c r="L67" s="8">
        <v>8280</v>
      </c>
      <c r="M67" s="20">
        <v>10000</v>
      </c>
      <c r="N67" s="14">
        <v>11177</v>
      </c>
      <c r="O67" s="9">
        <v>1892.79</v>
      </c>
    </row>
    <row r="68" spans="1:16">
      <c r="A68" s="5">
        <v>6553</v>
      </c>
      <c r="B68" s="6" t="s">
        <v>75</v>
      </c>
      <c r="C68" s="89">
        <v>8000</v>
      </c>
      <c r="D68" s="20">
        <f t="shared" si="20"/>
        <v>16000</v>
      </c>
      <c r="E68" s="8">
        <v>16000</v>
      </c>
      <c r="F68" s="8"/>
      <c r="G68" s="8"/>
      <c r="H68" s="8"/>
      <c r="I68" s="8"/>
      <c r="J68" s="71"/>
      <c r="K68" s="8">
        <v>16000</v>
      </c>
      <c r="L68" s="8">
        <v>13871</v>
      </c>
      <c r="M68" s="20">
        <v>20000</v>
      </c>
      <c r="N68" s="14">
        <v>11432</v>
      </c>
      <c r="O68" s="9">
        <v>11492</v>
      </c>
      <c r="P68" s="3" t="s">
        <v>76</v>
      </c>
    </row>
    <row r="69" spans="1:16">
      <c r="A69" s="5">
        <v>6554</v>
      </c>
      <c r="B69" s="6" t="s">
        <v>77</v>
      </c>
      <c r="C69" s="89">
        <v>25000</v>
      </c>
      <c r="D69" s="20">
        <f t="shared" si="20"/>
        <v>25000</v>
      </c>
      <c r="E69" s="8">
        <v>25000</v>
      </c>
      <c r="F69" s="8"/>
      <c r="G69" s="8"/>
      <c r="H69" s="8"/>
      <c r="I69" s="8"/>
      <c r="J69" s="71"/>
      <c r="K69" s="8">
        <v>15000</v>
      </c>
      <c r="L69" s="8">
        <v>19279</v>
      </c>
      <c r="M69" s="20"/>
      <c r="N69" s="14"/>
      <c r="O69" s="9"/>
    </row>
    <row r="70" spans="1:16">
      <c r="A70" s="5">
        <v>6555</v>
      </c>
      <c r="B70" s="6" t="s">
        <v>78</v>
      </c>
      <c r="C70" s="89">
        <v>25000</v>
      </c>
      <c r="D70" s="20">
        <f t="shared" si="20"/>
        <v>20000</v>
      </c>
      <c r="E70" s="8"/>
      <c r="F70" s="32">
        <v>20000</v>
      </c>
      <c r="G70" s="8"/>
      <c r="H70" s="8"/>
      <c r="I70" s="8"/>
      <c r="J70" s="71"/>
      <c r="K70" s="8">
        <v>16500</v>
      </c>
      <c r="L70" s="8">
        <v>10534</v>
      </c>
      <c r="M70" s="20">
        <v>190000</v>
      </c>
      <c r="N70" s="14">
        <v>185904.76</v>
      </c>
      <c r="O70" s="9">
        <v>345416.83</v>
      </c>
    </row>
    <row r="71" spans="1:16">
      <c r="A71" s="5">
        <v>6560</v>
      </c>
      <c r="B71" s="6" t="s">
        <v>79</v>
      </c>
      <c r="C71" s="89">
        <v>1000</v>
      </c>
      <c r="D71" s="20">
        <f t="shared" si="20"/>
        <v>0</v>
      </c>
      <c r="E71" s="8"/>
      <c r="F71" s="8"/>
      <c r="G71" s="8"/>
      <c r="H71" s="8"/>
      <c r="I71" s="8"/>
      <c r="J71" s="71"/>
      <c r="K71" s="8">
        <v>0</v>
      </c>
      <c r="L71" s="8"/>
      <c r="M71" s="20"/>
      <c r="N71" s="15">
        <v>0</v>
      </c>
      <c r="O71" s="9">
        <v>52554.879999999997</v>
      </c>
    </row>
    <row r="72" spans="1:16">
      <c r="A72" s="5">
        <v>6590</v>
      </c>
      <c r="B72" s="6" t="s">
        <v>80</v>
      </c>
      <c r="C72" s="89">
        <v>1000</v>
      </c>
      <c r="D72" s="20">
        <f t="shared" si="20"/>
        <v>4000</v>
      </c>
      <c r="E72" s="8">
        <v>4000</v>
      </c>
      <c r="F72" s="8"/>
      <c r="G72" s="8"/>
      <c r="H72" s="8"/>
      <c r="I72" s="8"/>
      <c r="J72" s="71"/>
      <c r="K72" s="8">
        <v>4000</v>
      </c>
      <c r="L72" s="8">
        <v>14</v>
      </c>
      <c r="M72" s="20">
        <v>5000</v>
      </c>
      <c r="N72" s="14">
        <v>2358</v>
      </c>
      <c r="O72" s="9">
        <v>3241</v>
      </c>
    </row>
    <row r="73" spans="1:16">
      <c r="A73" s="1"/>
      <c r="B73" s="2" t="s">
        <v>81</v>
      </c>
      <c r="C73" s="91">
        <f>SUM(C66:C72)</f>
        <v>60000</v>
      </c>
      <c r="D73" s="21">
        <f>SUM(D66:D72)</f>
        <v>80000</v>
      </c>
      <c r="E73" s="21">
        <f t="shared" ref="E73:I73" si="21">SUM(E66:E72)</f>
        <v>55000</v>
      </c>
      <c r="F73" s="21">
        <f t="shared" si="21"/>
        <v>20000</v>
      </c>
      <c r="G73" s="21">
        <f t="shared" si="21"/>
        <v>5000</v>
      </c>
      <c r="H73" s="21">
        <f t="shared" si="21"/>
        <v>0</v>
      </c>
      <c r="I73" s="21">
        <f t="shared" si="21"/>
        <v>0</v>
      </c>
      <c r="J73" s="75"/>
      <c r="K73" s="21">
        <v>121500</v>
      </c>
      <c r="L73" s="21">
        <f t="shared" ref="L73" si="22">SUM(L66:L72)</f>
        <v>51978</v>
      </c>
      <c r="M73" s="21">
        <f>SUM(M66:M72)</f>
        <v>227000</v>
      </c>
      <c r="N73" s="14">
        <v>210871.76</v>
      </c>
      <c r="O73" s="9">
        <v>417680.5</v>
      </c>
    </row>
    <row r="74" spans="1:16">
      <c r="A74" s="5">
        <v>6620</v>
      </c>
      <c r="B74" s="6" t="s">
        <v>82</v>
      </c>
      <c r="C74" s="89"/>
      <c r="D74" s="20">
        <f t="shared" ref="C74:D74" si="23">SUM(E74:I74)</f>
        <v>0</v>
      </c>
      <c r="E74" s="8"/>
      <c r="F74" s="8"/>
      <c r="G74" s="8"/>
      <c r="H74" s="8"/>
      <c r="I74" s="8"/>
      <c r="J74" s="71"/>
      <c r="K74" s="8">
        <v>0</v>
      </c>
      <c r="L74" s="8"/>
      <c r="M74" s="20">
        <v>0</v>
      </c>
      <c r="N74" s="15">
        <v>980</v>
      </c>
      <c r="O74" s="10">
        <v>0</v>
      </c>
    </row>
    <row r="75" spans="1:16" s="27" customFormat="1">
      <c r="A75" s="24"/>
      <c r="B75" s="2" t="s">
        <v>83</v>
      </c>
      <c r="C75" s="91"/>
      <c r="D75" s="21">
        <f>SUM(D74)</f>
        <v>0</v>
      </c>
      <c r="E75" s="21">
        <f t="shared" ref="E75:I75" si="24">SUM(E74)</f>
        <v>0</v>
      </c>
      <c r="F75" s="21">
        <f t="shared" si="24"/>
        <v>0</v>
      </c>
      <c r="G75" s="21">
        <f t="shared" si="24"/>
        <v>0</v>
      </c>
      <c r="H75" s="21">
        <f t="shared" si="24"/>
        <v>0</v>
      </c>
      <c r="I75" s="21">
        <f t="shared" si="24"/>
        <v>0</v>
      </c>
      <c r="J75" s="75"/>
      <c r="K75" s="21">
        <v>0</v>
      </c>
      <c r="L75" s="21">
        <f t="shared" ref="L75" si="25">SUM(L74)</f>
        <v>0</v>
      </c>
      <c r="M75" s="21">
        <f>SUM(M74)</f>
        <v>0</v>
      </c>
      <c r="N75" s="25">
        <v>980</v>
      </c>
      <c r="O75" s="26">
        <v>0</v>
      </c>
    </row>
    <row r="76" spans="1:16">
      <c r="A76" s="5">
        <v>6705</v>
      </c>
      <c r="B76" s="6" t="s">
        <v>84</v>
      </c>
      <c r="C76" s="89"/>
      <c r="D76" s="20">
        <f t="shared" ref="C76:D76" si="26">SUM(E76:I76)</f>
        <v>0</v>
      </c>
      <c r="E76" s="8">
        <v>0</v>
      </c>
      <c r="F76" s="8"/>
      <c r="G76" s="8"/>
      <c r="H76" s="8"/>
      <c r="I76" s="8"/>
      <c r="J76" s="71"/>
      <c r="K76" s="8">
        <v>0</v>
      </c>
      <c r="L76" s="8"/>
      <c r="M76" s="20">
        <v>38000</v>
      </c>
      <c r="N76" s="14">
        <v>29919</v>
      </c>
      <c r="O76" s="9">
        <v>52060</v>
      </c>
    </row>
    <row r="77" spans="1:16">
      <c r="A77" s="1"/>
      <c r="B77" s="2" t="s">
        <v>85</v>
      </c>
      <c r="C77" s="91"/>
      <c r="D77" s="21">
        <f>SUM(D76)</f>
        <v>0</v>
      </c>
      <c r="E77" s="21">
        <f t="shared" ref="E77:I77" si="27">SUM(E76)</f>
        <v>0</v>
      </c>
      <c r="F77" s="21">
        <f t="shared" si="27"/>
        <v>0</v>
      </c>
      <c r="G77" s="21">
        <f t="shared" si="27"/>
        <v>0</v>
      </c>
      <c r="H77" s="21">
        <f t="shared" si="27"/>
        <v>0</v>
      </c>
      <c r="I77" s="21">
        <f t="shared" si="27"/>
        <v>0</v>
      </c>
      <c r="J77" s="75"/>
      <c r="K77" s="21">
        <v>0</v>
      </c>
      <c r="L77" s="21">
        <f t="shared" ref="L77" si="28">SUM(L76)</f>
        <v>0</v>
      </c>
      <c r="M77" s="21">
        <f>SUM(M76)</f>
        <v>38000</v>
      </c>
      <c r="N77" s="14">
        <v>29919</v>
      </c>
      <c r="O77" s="9">
        <v>52060</v>
      </c>
    </row>
    <row r="78" spans="1:16">
      <c r="A78" s="5">
        <v>6800</v>
      </c>
      <c r="B78" s="6" t="s">
        <v>86</v>
      </c>
      <c r="C78" s="89">
        <v>5000</v>
      </c>
      <c r="D78" s="20">
        <f t="shared" ref="C78:D83" si="29">SUM(E78:I78)</f>
        <v>2800</v>
      </c>
      <c r="E78" s="8">
        <v>2000</v>
      </c>
      <c r="F78" s="8">
        <v>800</v>
      </c>
      <c r="G78" s="8"/>
      <c r="H78" s="8"/>
      <c r="I78" s="8"/>
      <c r="J78" s="71"/>
      <c r="K78" s="8">
        <v>2800</v>
      </c>
      <c r="L78" s="8">
        <v>2065</v>
      </c>
      <c r="M78" s="20">
        <v>2000</v>
      </c>
      <c r="N78" s="14">
        <v>1674</v>
      </c>
      <c r="O78" s="10">
        <v>0</v>
      </c>
    </row>
    <row r="79" spans="1:16">
      <c r="A79" s="5">
        <v>6820</v>
      </c>
      <c r="B79" s="6" t="s">
        <v>87</v>
      </c>
      <c r="C79" s="89">
        <v>0</v>
      </c>
      <c r="D79" s="20">
        <f t="shared" si="29"/>
        <v>14500</v>
      </c>
      <c r="E79" s="8"/>
      <c r="F79" s="8">
        <v>14500</v>
      </c>
      <c r="G79" s="8"/>
      <c r="H79" s="8"/>
      <c r="I79" s="8"/>
      <c r="J79" s="71"/>
      <c r="K79" s="8">
        <v>14500</v>
      </c>
      <c r="L79" s="8">
        <v>15000</v>
      </c>
      <c r="M79" s="20">
        <v>0</v>
      </c>
      <c r="N79" s="15">
        <v>0</v>
      </c>
      <c r="O79" s="9">
        <v>74275.360000000001</v>
      </c>
    </row>
    <row r="80" spans="1:16">
      <c r="A80" s="5">
        <v>6860</v>
      </c>
      <c r="B80" s="6" t="s">
        <v>88</v>
      </c>
      <c r="C80" s="89">
        <v>5000</v>
      </c>
      <c r="D80" s="20">
        <f t="shared" si="29"/>
        <v>4000</v>
      </c>
      <c r="E80" s="8">
        <v>4000</v>
      </c>
      <c r="F80" s="8"/>
      <c r="G80" s="8"/>
      <c r="H80" s="8"/>
      <c r="I80" s="8"/>
      <c r="J80" s="71"/>
      <c r="K80" s="8">
        <v>4000</v>
      </c>
      <c r="L80" s="8"/>
      <c r="M80" s="20"/>
      <c r="N80" s="15"/>
      <c r="O80" s="9"/>
    </row>
    <row r="81" spans="1:15">
      <c r="A81" s="5">
        <v>6900</v>
      </c>
      <c r="B81" s="6" t="s">
        <v>89</v>
      </c>
      <c r="C81" s="89"/>
      <c r="D81" s="20">
        <f t="shared" si="29"/>
        <v>5000</v>
      </c>
      <c r="E81" s="8">
        <v>5000</v>
      </c>
      <c r="F81" s="8"/>
      <c r="G81" s="8"/>
      <c r="H81" s="8"/>
      <c r="I81" s="8"/>
      <c r="J81" s="71"/>
      <c r="K81" s="8">
        <v>14000</v>
      </c>
      <c r="L81" s="8">
        <v>7540</v>
      </c>
      <c r="M81" s="20">
        <v>8000</v>
      </c>
      <c r="N81" s="14">
        <v>8022.5</v>
      </c>
      <c r="O81" s="9">
        <v>4858.75</v>
      </c>
    </row>
    <row r="82" spans="1:15">
      <c r="A82" s="5">
        <v>6910</v>
      </c>
      <c r="B82" s="6" t="s">
        <v>90</v>
      </c>
      <c r="C82" s="89">
        <v>3700</v>
      </c>
      <c r="D82" s="20">
        <f t="shared" si="29"/>
        <v>5000</v>
      </c>
      <c r="E82" s="8">
        <v>5000</v>
      </c>
      <c r="F82" s="8"/>
      <c r="G82" s="8"/>
      <c r="H82" s="8"/>
      <c r="I82" s="8"/>
      <c r="J82" s="71"/>
      <c r="K82" s="8"/>
      <c r="L82" s="8">
        <v>3987</v>
      </c>
      <c r="M82" s="20"/>
      <c r="N82" s="14"/>
      <c r="O82" s="9"/>
    </row>
    <row r="83" spans="1:15">
      <c r="A83" s="5">
        <v>6940</v>
      </c>
      <c r="B83" s="6" t="s">
        <v>91</v>
      </c>
      <c r="C83" s="89"/>
      <c r="D83" s="20">
        <f t="shared" si="29"/>
        <v>0</v>
      </c>
      <c r="E83" s="8">
        <v>0</v>
      </c>
      <c r="F83" s="8"/>
      <c r="G83" s="8"/>
      <c r="H83" s="8"/>
      <c r="I83" s="8"/>
      <c r="J83" s="71"/>
      <c r="K83" s="8">
        <v>1000</v>
      </c>
      <c r="L83" s="8"/>
      <c r="M83" s="20">
        <v>0</v>
      </c>
      <c r="N83" s="15">
        <v>740</v>
      </c>
      <c r="O83" s="10">
        <v>0</v>
      </c>
    </row>
    <row r="84" spans="1:15">
      <c r="A84" s="1"/>
      <c r="B84" s="2" t="s">
        <v>92</v>
      </c>
      <c r="C84" s="91">
        <f>SUM(C78:C83)</f>
        <v>13700</v>
      </c>
      <c r="D84" s="21">
        <f>SUM(D78:D83)</f>
        <v>31300</v>
      </c>
      <c r="E84" s="21">
        <f t="shared" ref="E84:I84" si="30">SUM(E78:E83)</f>
        <v>16000</v>
      </c>
      <c r="F84" s="21">
        <f t="shared" si="30"/>
        <v>15300</v>
      </c>
      <c r="G84" s="21">
        <f t="shared" si="30"/>
        <v>0</v>
      </c>
      <c r="H84" s="21">
        <f t="shared" si="30"/>
        <v>0</v>
      </c>
      <c r="I84" s="21">
        <f t="shared" si="30"/>
        <v>0</v>
      </c>
      <c r="J84" s="75"/>
      <c r="K84" s="21">
        <v>36300</v>
      </c>
      <c r="L84" s="21">
        <f>SUM(L78:L83)</f>
        <v>28592</v>
      </c>
      <c r="M84" s="21">
        <f>SUM(M78:M83)</f>
        <v>10000</v>
      </c>
      <c r="N84" s="14">
        <v>10436.5</v>
      </c>
      <c r="O84" s="9">
        <v>79134.11</v>
      </c>
    </row>
    <row r="85" spans="1:15">
      <c r="A85" s="5">
        <v>7100</v>
      </c>
      <c r="B85" s="6" t="s">
        <v>93</v>
      </c>
      <c r="C85" s="89"/>
      <c r="D85" s="20">
        <f t="shared" ref="C85:D86" si="31">SUM(E85:I85)</f>
        <v>0</v>
      </c>
      <c r="E85" s="8"/>
      <c r="F85" s="8"/>
      <c r="G85" s="8"/>
      <c r="H85" s="8"/>
      <c r="I85" s="8"/>
      <c r="J85" s="71"/>
      <c r="K85" s="8">
        <v>0</v>
      </c>
      <c r="L85" s="8"/>
      <c r="M85" s="20"/>
      <c r="N85" s="15">
        <v>0</v>
      </c>
      <c r="O85" s="10">
        <v>0</v>
      </c>
    </row>
    <row r="86" spans="1:15">
      <c r="A86" s="5">
        <v>7140</v>
      </c>
      <c r="B86" s="6" t="s">
        <v>94</v>
      </c>
      <c r="C86" s="89"/>
      <c r="D86" s="20">
        <f t="shared" si="31"/>
        <v>0</v>
      </c>
      <c r="E86" s="8"/>
      <c r="F86" s="8"/>
      <c r="G86" s="8"/>
      <c r="H86" s="8"/>
      <c r="I86" s="8"/>
      <c r="J86" s="71"/>
      <c r="K86" s="8">
        <v>0</v>
      </c>
      <c r="L86" s="8"/>
      <c r="M86" s="20">
        <v>5000</v>
      </c>
      <c r="N86" s="15">
        <v>0</v>
      </c>
      <c r="O86" s="10">
        <v>0</v>
      </c>
    </row>
    <row r="87" spans="1:15">
      <c r="A87" s="1"/>
      <c r="B87" s="2" t="s">
        <v>95</v>
      </c>
      <c r="C87" s="91"/>
      <c r="D87" s="21">
        <f>SUM(D86)</f>
        <v>0</v>
      </c>
      <c r="E87" s="21">
        <f t="shared" ref="E87:I87" si="32">SUM(E86)</f>
        <v>0</v>
      </c>
      <c r="F87" s="21">
        <f t="shared" si="32"/>
        <v>0</v>
      </c>
      <c r="G87" s="21">
        <f t="shared" si="32"/>
        <v>0</v>
      </c>
      <c r="H87" s="21">
        <f t="shared" si="32"/>
        <v>0</v>
      </c>
      <c r="I87" s="21">
        <f t="shared" si="32"/>
        <v>0</v>
      </c>
      <c r="J87" s="75"/>
      <c r="K87" s="21">
        <f>SUM(K85:K86)</f>
        <v>0</v>
      </c>
      <c r="L87" s="21">
        <f>SUM(L85:L86)</f>
        <v>0</v>
      </c>
      <c r="M87" s="20">
        <f>SUM(M86)</f>
        <v>5000</v>
      </c>
      <c r="N87" s="15">
        <v>0</v>
      </c>
      <c r="O87" s="10">
        <v>0</v>
      </c>
    </row>
    <row r="88" spans="1:15">
      <c r="A88" s="5">
        <v>7320</v>
      </c>
      <c r="B88" s="6" t="s">
        <v>96</v>
      </c>
      <c r="C88" s="89"/>
      <c r="D88" s="20">
        <f t="shared" ref="C88:D88" si="33">SUM(E88:I88)</f>
        <v>4000</v>
      </c>
      <c r="E88" s="8"/>
      <c r="F88" s="8">
        <v>4000</v>
      </c>
      <c r="G88" s="8"/>
      <c r="H88" s="8"/>
      <c r="I88" s="8"/>
      <c r="J88" s="71"/>
      <c r="K88" s="8">
        <v>4000</v>
      </c>
      <c r="L88" s="8">
        <v>5382</v>
      </c>
      <c r="M88" s="20">
        <v>10000</v>
      </c>
      <c r="N88" s="14">
        <v>9797.5</v>
      </c>
      <c r="O88" s="9">
        <v>19711.88</v>
      </c>
    </row>
    <row r="89" spans="1:15">
      <c r="A89" s="1"/>
      <c r="B89" s="2" t="s">
        <v>97</v>
      </c>
      <c r="C89" s="91"/>
      <c r="D89" s="21">
        <f>SUM(D88)</f>
        <v>4000</v>
      </c>
      <c r="E89" s="21">
        <f t="shared" ref="E89:I89" si="34">SUM(E88)</f>
        <v>0</v>
      </c>
      <c r="F89" s="21">
        <f t="shared" si="34"/>
        <v>4000</v>
      </c>
      <c r="G89" s="21">
        <f t="shared" si="34"/>
        <v>0</v>
      </c>
      <c r="H89" s="21">
        <f t="shared" si="34"/>
        <v>0</v>
      </c>
      <c r="I89" s="21">
        <f t="shared" si="34"/>
        <v>0</v>
      </c>
      <c r="J89" s="75"/>
      <c r="K89" s="21">
        <v>4000</v>
      </c>
      <c r="L89" s="21">
        <f t="shared" ref="L89" si="35">SUM(L88)</f>
        <v>5382</v>
      </c>
      <c r="M89" s="21">
        <f>SUM(M88)</f>
        <v>10000</v>
      </c>
      <c r="N89" s="14">
        <v>9797.5</v>
      </c>
      <c r="O89" s="9">
        <v>19711.88</v>
      </c>
    </row>
    <row r="90" spans="1:15">
      <c r="A90" s="5">
        <v>7430</v>
      </c>
      <c r="B90" s="6" t="s">
        <v>98</v>
      </c>
      <c r="C90" s="89">
        <v>4000</v>
      </c>
      <c r="D90" s="20">
        <f t="shared" ref="C90:D93" si="36">SUM(E90:I90)</f>
        <v>4000</v>
      </c>
      <c r="E90" s="8">
        <v>4000</v>
      </c>
      <c r="F90" s="8"/>
      <c r="G90" s="8"/>
      <c r="H90" s="8"/>
      <c r="I90" s="8"/>
      <c r="J90" s="71"/>
      <c r="K90" s="8">
        <v>2000</v>
      </c>
      <c r="L90" s="8">
        <v>3600</v>
      </c>
      <c r="M90" s="20">
        <v>5000</v>
      </c>
      <c r="N90" s="14">
        <v>4768</v>
      </c>
      <c r="O90" s="9">
        <v>4443</v>
      </c>
    </row>
    <row r="91" spans="1:15">
      <c r="A91" s="5">
        <v>7450</v>
      </c>
      <c r="B91" s="6" t="s">
        <v>99</v>
      </c>
      <c r="C91" s="89">
        <v>3000</v>
      </c>
      <c r="D91" s="20">
        <f t="shared" si="36"/>
        <v>3000</v>
      </c>
      <c r="E91" s="8"/>
      <c r="F91" s="8">
        <v>3000</v>
      </c>
      <c r="G91" s="8"/>
      <c r="H91" s="8"/>
      <c r="I91" s="8"/>
      <c r="J91" s="71"/>
      <c r="K91" s="8">
        <v>3000</v>
      </c>
      <c r="L91" s="8"/>
      <c r="M91" s="20">
        <v>0</v>
      </c>
      <c r="N91" s="14">
        <v>-50000</v>
      </c>
      <c r="O91" s="9">
        <v>253000</v>
      </c>
    </row>
    <row r="92" spans="1:15">
      <c r="A92" s="5">
        <v>7460</v>
      </c>
      <c r="B92" s="6" t="s">
        <v>100</v>
      </c>
      <c r="C92" s="89">
        <v>12000</v>
      </c>
      <c r="D92" s="20"/>
      <c r="E92" s="8"/>
      <c r="F92" s="8"/>
      <c r="G92" s="8"/>
      <c r="H92" s="8"/>
      <c r="I92" s="8"/>
      <c r="J92" s="71"/>
      <c r="K92" s="8"/>
      <c r="L92" s="8">
        <v>1793</v>
      </c>
      <c r="M92" s="20"/>
      <c r="N92" s="14"/>
      <c r="O92" s="9"/>
    </row>
    <row r="93" spans="1:15">
      <c r="A93" s="5">
        <v>7464</v>
      </c>
      <c r="B93" s="6" t="s">
        <v>101</v>
      </c>
      <c r="C93" s="89">
        <v>15000</v>
      </c>
      <c r="D93" s="20">
        <f t="shared" si="36"/>
        <v>25000</v>
      </c>
      <c r="E93" s="8"/>
      <c r="F93" s="8"/>
      <c r="G93" s="8"/>
      <c r="H93" s="8">
        <v>25000</v>
      </c>
      <c r="I93" s="8"/>
      <c r="J93" s="71"/>
      <c r="K93" s="8">
        <v>30000</v>
      </c>
      <c r="L93" s="8">
        <v>18614</v>
      </c>
      <c r="M93" s="20">
        <v>25000</v>
      </c>
      <c r="N93" s="14">
        <v>23899.5</v>
      </c>
      <c r="O93" s="9">
        <v>58020</v>
      </c>
    </row>
    <row r="94" spans="1:15">
      <c r="A94" s="1"/>
      <c r="B94" s="2" t="s">
        <v>102</v>
      </c>
      <c r="C94" s="91">
        <f>SUM(C90:C93)</f>
        <v>34000</v>
      </c>
      <c r="D94" s="21">
        <f>SUM(D90:D93)</f>
        <v>32000</v>
      </c>
      <c r="E94" s="21">
        <f t="shared" ref="E94:I94" si="37">SUM(E90:E93)</f>
        <v>4000</v>
      </c>
      <c r="F94" s="21">
        <f t="shared" si="37"/>
        <v>3000</v>
      </c>
      <c r="G94" s="21">
        <f t="shared" si="37"/>
        <v>0</v>
      </c>
      <c r="H94" s="21">
        <f t="shared" si="37"/>
        <v>25000</v>
      </c>
      <c r="I94" s="21">
        <f t="shared" si="37"/>
        <v>0</v>
      </c>
      <c r="J94" s="75"/>
      <c r="K94" s="21">
        <v>35000</v>
      </c>
      <c r="L94" s="21">
        <f t="shared" ref="L94" si="38">SUM(L90:L93)</f>
        <v>24007</v>
      </c>
      <c r="M94" s="21">
        <f>SUM(M90:M93)</f>
        <v>30000</v>
      </c>
      <c r="N94" s="14">
        <v>-21332.5</v>
      </c>
      <c r="O94" s="9">
        <v>315463</v>
      </c>
    </row>
    <row r="95" spans="1:15">
      <c r="A95" s="5">
        <v>7500</v>
      </c>
      <c r="B95" s="6" t="s">
        <v>103</v>
      </c>
      <c r="C95" s="89">
        <v>6500</v>
      </c>
      <c r="D95" s="20">
        <f t="shared" ref="C95:D95" si="39">SUM(E95:I95)</f>
        <v>6500</v>
      </c>
      <c r="E95" s="8">
        <v>6500</v>
      </c>
      <c r="F95" s="8"/>
      <c r="G95" s="8"/>
      <c r="H95" s="8"/>
      <c r="I95" s="8"/>
      <c r="J95" s="71"/>
      <c r="K95" s="8">
        <v>6500</v>
      </c>
      <c r="L95" s="8">
        <v>6183</v>
      </c>
      <c r="M95" s="20">
        <v>6500</v>
      </c>
      <c r="N95" s="14">
        <v>6183</v>
      </c>
      <c r="O95" s="9">
        <v>6188</v>
      </c>
    </row>
    <row r="96" spans="1:15" s="27" customFormat="1">
      <c r="A96" s="24"/>
      <c r="B96" s="2" t="s">
        <v>104</v>
      </c>
      <c r="C96" s="91">
        <f>C95</f>
        <v>6500</v>
      </c>
      <c r="D96" s="21">
        <f>SUM(D95)</f>
        <v>6500</v>
      </c>
      <c r="E96" s="21">
        <f t="shared" ref="E96:I96" si="40">SUM(E95)</f>
        <v>6500</v>
      </c>
      <c r="F96" s="21">
        <f t="shared" si="40"/>
        <v>0</v>
      </c>
      <c r="G96" s="21">
        <f t="shared" si="40"/>
        <v>0</v>
      </c>
      <c r="H96" s="21">
        <f t="shared" si="40"/>
        <v>0</v>
      </c>
      <c r="I96" s="21">
        <f t="shared" si="40"/>
        <v>0</v>
      </c>
      <c r="J96" s="75"/>
      <c r="K96" s="21">
        <v>6500</v>
      </c>
      <c r="L96" s="21">
        <f t="shared" ref="L96" si="41">SUM(L95)</f>
        <v>6183</v>
      </c>
      <c r="M96" s="21">
        <f>SUM(M95)</f>
        <v>6500</v>
      </c>
      <c r="N96" s="28">
        <v>6183</v>
      </c>
      <c r="O96" s="29">
        <v>6188</v>
      </c>
    </row>
    <row r="97" spans="1:15">
      <c r="A97" s="5">
        <v>7770</v>
      </c>
      <c r="B97" s="6" t="s">
        <v>105</v>
      </c>
      <c r="C97" s="89">
        <v>3000</v>
      </c>
      <c r="D97" s="20">
        <f t="shared" ref="C97:D103" si="42">SUM(E97:I97)</f>
        <v>1050</v>
      </c>
      <c r="E97" s="8">
        <v>850</v>
      </c>
      <c r="F97" s="8"/>
      <c r="G97" s="8">
        <v>200</v>
      </c>
      <c r="H97" s="8"/>
      <c r="I97" s="8"/>
      <c r="J97" s="71"/>
      <c r="K97" s="8">
        <v>1000</v>
      </c>
      <c r="L97" s="8">
        <v>370</v>
      </c>
      <c r="M97" s="20">
        <v>3000</v>
      </c>
      <c r="N97" s="14">
        <v>2487.5300000000002</v>
      </c>
      <c r="O97" s="9">
        <v>2117.85</v>
      </c>
    </row>
    <row r="98" spans="1:15">
      <c r="A98" s="5">
        <v>7771</v>
      </c>
      <c r="B98" s="6" t="s">
        <v>106</v>
      </c>
      <c r="C98" s="89"/>
      <c r="D98" s="20">
        <f t="shared" si="42"/>
        <v>0</v>
      </c>
      <c r="E98" s="8"/>
      <c r="F98" s="8"/>
      <c r="G98" s="8"/>
      <c r="H98" s="8"/>
      <c r="I98" s="8"/>
      <c r="J98" s="71"/>
      <c r="K98" s="8">
        <v>0</v>
      </c>
      <c r="L98" s="8">
        <v>13</v>
      </c>
      <c r="M98" s="20">
        <v>0</v>
      </c>
      <c r="N98" s="15">
        <v>-1.1100000000000001</v>
      </c>
      <c r="O98" s="10">
        <v>893.8</v>
      </c>
    </row>
    <row r="99" spans="1:15">
      <c r="A99" s="5">
        <v>7772</v>
      </c>
      <c r="B99" s="6" t="s">
        <v>107</v>
      </c>
      <c r="C99" s="89">
        <v>1400</v>
      </c>
      <c r="D99" s="20">
        <f t="shared" si="42"/>
        <v>1150</v>
      </c>
      <c r="E99" s="8">
        <v>1000</v>
      </c>
      <c r="F99" s="8">
        <v>150</v>
      </c>
      <c r="G99" s="8"/>
      <c r="H99" s="8"/>
      <c r="I99" s="8"/>
      <c r="J99" s="71"/>
      <c r="K99" s="8">
        <v>150</v>
      </c>
      <c r="L99" s="8">
        <v>569</v>
      </c>
      <c r="M99" s="20"/>
      <c r="N99" s="15"/>
      <c r="O99" s="10"/>
    </row>
    <row r="100" spans="1:15">
      <c r="A100" s="5">
        <v>7775</v>
      </c>
      <c r="B100" s="6" t="s">
        <v>108</v>
      </c>
      <c r="C100" s="89">
        <v>1000</v>
      </c>
      <c r="D100" s="20">
        <f t="shared" si="42"/>
        <v>2000</v>
      </c>
      <c r="E100" s="8">
        <v>2000</v>
      </c>
      <c r="F100" s="8"/>
      <c r="G100" s="8"/>
      <c r="H100" s="8"/>
      <c r="I100" s="8"/>
      <c r="J100" s="71"/>
      <c r="K100" s="8">
        <v>2000</v>
      </c>
      <c r="L100" s="8">
        <v>312</v>
      </c>
      <c r="M100" s="20"/>
      <c r="N100" s="15"/>
      <c r="O100" s="10"/>
    </row>
    <row r="101" spans="1:15">
      <c r="A101" s="5">
        <v>7790</v>
      </c>
      <c r="B101" s="6" t="s">
        <v>109</v>
      </c>
      <c r="C101" s="89"/>
      <c r="D101" s="20">
        <f t="shared" si="42"/>
        <v>1000</v>
      </c>
      <c r="E101" s="8">
        <v>1000</v>
      </c>
      <c r="F101" s="8"/>
      <c r="G101" s="8"/>
      <c r="H101" s="8"/>
      <c r="I101" s="8"/>
      <c r="J101" s="71"/>
      <c r="K101" s="8">
        <v>6000</v>
      </c>
      <c r="L101" s="8">
        <v>73</v>
      </c>
      <c r="M101" s="20"/>
      <c r="N101" s="14">
        <v>1699</v>
      </c>
      <c r="O101" s="9">
        <v>7447.88</v>
      </c>
    </row>
    <row r="102" spans="1:15">
      <c r="A102" s="5">
        <v>7799</v>
      </c>
      <c r="B102" s="6" t="s">
        <v>110</v>
      </c>
      <c r="C102" s="89"/>
      <c r="D102" s="20">
        <f t="shared" si="42"/>
        <v>0</v>
      </c>
      <c r="E102" s="8">
        <v>0</v>
      </c>
      <c r="F102" s="8"/>
      <c r="G102" s="8"/>
      <c r="H102" s="8"/>
      <c r="I102" s="8"/>
      <c r="J102" s="71"/>
      <c r="K102" s="8">
        <v>15000</v>
      </c>
      <c r="L102" s="8">
        <v>4961</v>
      </c>
      <c r="M102" s="20">
        <v>5000</v>
      </c>
      <c r="N102" s="15">
        <v>0</v>
      </c>
      <c r="O102" s="9">
        <v>2500</v>
      </c>
    </row>
    <row r="103" spans="1:15">
      <c r="A103" s="5"/>
      <c r="B103" s="6" t="s">
        <v>132</v>
      </c>
      <c r="C103" s="89">
        <v>100000</v>
      </c>
      <c r="D103" s="20">
        <f t="shared" si="42"/>
        <v>0</v>
      </c>
      <c r="E103" s="8"/>
      <c r="F103" s="8"/>
      <c r="G103" s="8"/>
      <c r="H103" s="8"/>
      <c r="I103" s="8"/>
      <c r="J103" s="71"/>
      <c r="K103" s="8">
        <v>0</v>
      </c>
      <c r="L103" s="8"/>
      <c r="M103" s="20">
        <v>290000</v>
      </c>
      <c r="N103" s="14">
        <v>290454.88</v>
      </c>
      <c r="O103" s="9">
        <v>195306.06</v>
      </c>
    </row>
    <row r="104" spans="1:15">
      <c r="A104" s="1"/>
      <c r="B104" s="2" t="s">
        <v>111</v>
      </c>
      <c r="C104" s="91">
        <f>SUM(C97:C103)</f>
        <v>105400</v>
      </c>
      <c r="D104" s="21">
        <f>SUM(D97:D103)</f>
        <v>5200</v>
      </c>
      <c r="E104" s="21">
        <f t="shared" ref="E104:I104" si="43">SUM(E97:E103)</f>
        <v>4850</v>
      </c>
      <c r="F104" s="21">
        <f t="shared" si="43"/>
        <v>150</v>
      </c>
      <c r="G104" s="21">
        <f t="shared" si="43"/>
        <v>200</v>
      </c>
      <c r="H104" s="21">
        <f t="shared" si="43"/>
        <v>0</v>
      </c>
      <c r="I104" s="21">
        <f t="shared" si="43"/>
        <v>0</v>
      </c>
      <c r="J104" s="75"/>
      <c r="K104" s="21">
        <v>24150</v>
      </c>
      <c r="L104" s="21">
        <f t="shared" ref="L104" si="44">SUM(L97:L103)</f>
        <v>6298</v>
      </c>
      <c r="M104" s="21">
        <f>SUM(M97:M103)</f>
        <v>298000</v>
      </c>
      <c r="N104" s="14">
        <v>294640.3</v>
      </c>
      <c r="O104" s="9">
        <v>208265.59</v>
      </c>
    </row>
    <row r="105" spans="1:15">
      <c r="A105" s="5">
        <v>7830</v>
      </c>
      <c r="B105" s="6" t="s">
        <v>112</v>
      </c>
      <c r="C105" s="89"/>
      <c r="D105" s="20">
        <f t="shared" ref="C105:D105" si="45">SUM(E105:I105)</f>
        <v>0</v>
      </c>
      <c r="E105" s="8"/>
      <c r="F105" s="8"/>
      <c r="G105" s="8"/>
      <c r="H105" s="8"/>
      <c r="I105" s="8"/>
      <c r="J105" s="71"/>
      <c r="K105" s="8">
        <v>0</v>
      </c>
      <c r="L105" s="8"/>
      <c r="M105" s="20"/>
      <c r="N105" s="15">
        <v>0</v>
      </c>
      <c r="O105" s="9">
        <v>1300</v>
      </c>
    </row>
    <row r="106" spans="1:15">
      <c r="A106" s="1"/>
      <c r="B106" s="2" t="s">
        <v>113</v>
      </c>
      <c r="C106" s="91"/>
      <c r="D106" s="20"/>
      <c r="E106" s="8"/>
      <c r="F106" s="8"/>
      <c r="G106" s="8"/>
      <c r="H106" s="8"/>
      <c r="I106" s="8"/>
      <c r="J106" s="71"/>
      <c r="K106" s="8"/>
      <c r="L106" s="8"/>
      <c r="M106" s="20"/>
      <c r="N106" s="15">
        <v>0</v>
      </c>
      <c r="O106" s="9">
        <v>1300</v>
      </c>
    </row>
    <row r="107" spans="1:15">
      <c r="A107" s="1"/>
      <c r="B107" s="2" t="s">
        <v>114</v>
      </c>
      <c r="C107" s="91"/>
      <c r="D107" s="20"/>
      <c r="E107" s="8"/>
      <c r="F107" s="8"/>
      <c r="G107" s="8"/>
      <c r="H107" s="8"/>
      <c r="I107" s="8"/>
      <c r="J107" s="71"/>
      <c r="K107" s="8"/>
      <c r="L107" s="8"/>
      <c r="M107" s="20"/>
      <c r="N107" s="14">
        <v>728292.11</v>
      </c>
      <c r="O107" s="9">
        <v>1225359.44</v>
      </c>
    </row>
    <row r="108" spans="1:15">
      <c r="A108" s="1"/>
      <c r="B108" s="2" t="s">
        <v>115</v>
      </c>
      <c r="C108" s="94">
        <f>SUM(C104+C94+C96+C89+C87+C84+C77+C75+C73+C65+C61+C55+C52+C41)</f>
        <v>830207.71965599991</v>
      </c>
      <c r="D108" s="21">
        <f t="shared" ref="D108:I108" si="46">D41+D104+D96+D94+D89+D84+D77+D75+D73+D65+D61+D52</f>
        <v>657263.85943750001</v>
      </c>
      <c r="E108" s="21">
        <f t="shared" si="46"/>
        <v>397613.85943750001</v>
      </c>
      <c r="F108" s="21">
        <f t="shared" si="46"/>
        <v>74450</v>
      </c>
      <c r="G108" s="21">
        <f t="shared" si="46"/>
        <v>160200</v>
      </c>
      <c r="H108" s="21">
        <f t="shared" si="46"/>
        <v>25000</v>
      </c>
      <c r="I108" s="21">
        <f t="shared" si="46"/>
        <v>0</v>
      </c>
      <c r="J108" s="75"/>
      <c r="K108" s="21">
        <v>704146</v>
      </c>
      <c r="L108" s="21">
        <f>L41+L104+L96+L94+L89+L84+L77+L75+L73+L65+L61+L52</f>
        <v>406936</v>
      </c>
      <c r="M108" s="21">
        <f>M104+M96+M94+M89+M84+M77+M75+M73+M65+M61+M52</f>
        <v>812500</v>
      </c>
      <c r="N108" s="16">
        <v>728292.11</v>
      </c>
      <c r="O108" s="11">
        <v>1225359.44</v>
      </c>
    </row>
    <row r="109" spans="1:15" s="27" customFormat="1">
      <c r="A109" s="39"/>
      <c r="B109" s="4" t="s">
        <v>116</v>
      </c>
      <c r="C109" s="30">
        <f t="shared" ref="C109:I109" si="47">C37-C108</f>
        <v>14512.280344000086</v>
      </c>
      <c r="D109" s="30">
        <f t="shared" si="47"/>
        <v>456.14056249998976</v>
      </c>
      <c r="E109" s="30">
        <f t="shared" si="47"/>
        <v>-49543.85943750001</v>
      </c>
      <c r="F109" s="30">
        <f t="shared" si="47"/>
        <v>0</v>
      </c>
      <c r="G109" s="30">
        <f t="shared" si="47"/>
        <v>0</v>
      </c>
      <c r="H109" s="30">
        <f t="shared" si="47"/>
        <v>0</v>
      </c>
      <c r="I109" s="30">
        <f t="shared" si="47"/>
        <v>50000</v>
      </c>
      <c r="J109" s="79"/>
      <c r="K109" s="30">
        <v>1034</v>
      </c>
      <c r="L109" s="30">
        <f>L37-L108</f>
        <v>-7031</v>
      </c>
      <c r="M109" s="30">
        <f>M37-M108</f>
        <v>81500</v>
      </c>
      <c r="N109" s="40">
        <v>107306.36</v>
      </c>
      <c r="O109" s="41">
        <v>135187.53</v>
      </c>
    </row>
    <row r="110" spans="1:15">
      <c r="A110" s="1"/>
      <c r="B110" s="2" t="s">
        <v>117</v>
      </c>
      <c r="C110" s="20"/>
      <c r="D110" s="20"/>
      <c r="E110" s="8"/>
      <c r="F110" s="8"/>
      <c r="G110" s="8"/>
      <c r="H110" s="8"/>
      <c r="I110" s="8"/>
      <c r="J110" s="71"/>
      <c r="K110" s="8"/>
      <c r="L110" s="8"/>
      <c r="M110" s="20"/>
      <c r="N110" s="12"/>
      <c r="O110" s="12"/>
    </row>
    <row r="111" spans="1:15">
      <c r="A111" s="5">
        <v>8050</v>
      </c>
      <c r="B111" s="6" t="s">
        <v>118</v>
      </c>
      <c r="C111" s="20">
        <v>1300</v>
      </c>
      <c r="D111" s="20">
        <f t="shared" ref="C111:D111" si="48">SUM(E111:I111)</f>
        <v>1300</v>
      </c>
      <c r="E111" s="8">
        <v>1300</v>
      </c>
      <c r="F111" s="8"/>
      <c r="G111" s="8"/>
      <c r="H111" s="8"/>
      <c r="I111" s="8"/>
      <c r="J111" s="71"/>
      <c r="K111" s="8">
        <v>1300</v>
      </c>
      <c r="L111" s="8">
        <v>888</v>
      </c>
      <c r="M111" s="20"/>
      <c r="N111" s="14">
        <v>1226.05</v>
      </c>
      <c r="O111" s="9">
        <v>7911.33</v>
      </c>
    </row>
    <row r="112" spans="1:15">
      <c r="A112" s="1"/>
      <c r="B112" s="2" t="s">
        <v>119</v>
      </c>
      <c r="C112" s="21">
        <f>SUM(C111:C111)</f>
        <v>1300</v>
      </c>
      <c r="D112" s="21">
        <f>SUM(D111:D111)</f>
        <v>1300</v>
      </c>
      <c r="E112" s="21">
        <f t="shared" ref="E112:I112" si="49">SUM(E111:E111)</f>
        <v>1300</v>
      </c>
      <c r="F112" s="21">
        <f t="shared" si="49"/>
        <v>0</v>
      </c>
      <c r="G112" s="21">
        <f t="shared" si="49"/>
        <v>0</v>
      </c>
      <c r="H112" s="21">
        <f t="shared" si="49"/>
        <v>0</v>
      </c>
      <c r="I112" s="21">
        <f t="shared" si="49"/>
        <v>0</v>
      </c>
      <c r="J112" s="75"/>
      <c r="K112" s="21">
        <v>1300</v>
      </c>
      <c r="L112" s="21">
        <f t="shared" ref="L112" si="50">SUM(L111:L111)</f>
        <v>888</v>
      </c>
      <c r="M112" s="20">
        <f>SUM(M111:M111)</f>
        <v>0</v>
      </c>
      <c r="N112" s="14">
        <v>1226.05</v>
      </c>
      <c r="O112" s="9">
        <v>7911.33</v>
      </c>
    </row>
    <row r="113" spans="1:15">
      <c r="A113" s="5">
        <v>8150</v>
      </c>
      <c r="B113" s="6" t="s">
        <v>120</v>
      </c>
      <c r="C113" s="20">
        <v>0</v>
      </c>
      <c r="D113" s="20">
        <f t="shared" ref="C113:D114" si="51">SUM(E113:I113)</f>
        <v>0</v>
      </c>
      <c r="E113" s="8"/>
      <c r="F113" s="8"/>
      <c r="G113" s="8"/>
      <c r="H113" s="8"/>
      <c r="I113" s="8"/>
      <c r="J113" s="71"/>
      <c r="K113" s="8">
        <v>0</v>
      </c>
      <c r="L113" s="8"/>
      <c r="M113" s="20"/>
      <c r="N113" s="15">
        <v>3.19</v>
      </c>
      <c r="O113" s="10">
        <v>114</v>
      </c>
    </row>
    <row r="114" spans="1:15">
      <c r="A114" s="5">
        <v>8155</v>
      </c>
      <c r="B114" s="6" t="s">
        <v>121</v>
      </c>
      <c r="C114" s="20">
        <f t="shared" si="51"/>
        <v>0</v>
      </c>
      <c r="D114" s="20">
        <f t="shared" si="51"/>
        <v>0</v>
      </c>
      <c r="E114" s="8"/>
      <c r="F114" s="8"/>
      <c r="G114" s="8"/>
      <c r="H114" s="8"/>
      <c r="I114" s="8"/>
      <c r="J114" s="71"/>
      <c r="K114" s="8">
        <v>0</v>
      </c>
      <c r="L114" s="8"/>
      <c r="M114" s="20"/>
      <c r="N114" s="15">
        <v>0</v>
      </c>
      <c r="O114" s="10">
        <v>79.56</v>
      </c>
    </row>
    <row r="115" spans="1:15" s="27" customFormat="1">
      <c r="A115" s="24"/>
      <c r="B115" s="2" t="s">
        <v>122</v>
      </c>
      <c r="C115" s="21">
        <f>SUM(C113:C114)</f>
        <v>0</v>
      </c>
      <c r="D115" s="21">
        <f>SUM(D113:D114)</f>
        <v>0</v>
      </c>
      <c r="E115" s="17"/>
      <c r="F115" s="17"/>
      <c r="G115" s="17"/>
      <c r="H115" s="17"/>
      <c r="I115" s="17"/>
      <c r="J115" s="77"/>
      <c r="K115" s="17">
        <v>0</v>
      </c>
      <c r="L115" s="17"/>
      <c r="M115" s="21">
        <f>SUM(M113:M114)</f>
        <v>0</v>
      </c>
      <c r="N115" s="25">
        <v>3.19</v>
      </c>
      <c r="O115" s="26">
        <v>270.24</v>
      </c>
    </row>
    <row r="116" spans="1:15">
      <c r="A116" s="1"/>
      <c r="B116" s="2" t="s">
        <v>123</v>
      </c>
      <c r="C116" s="21">
        <f t="shared" ref="C116" si="52">C112-C115</f>
        <v>1300</v>
      </c>
      <c r="D116" s="21">
        <f t="shared" ref="D116:I116" si="53">D112-D115</f>
        <v>1300</v>
      </c>
      <c r="E116" s="21">
        <f t="shared" si="53"/>
        <v>1300</v>
      </c>
      <c r="F116" s="21">
        <f t="shared" si="53"/>
        <v>0</v>
      </c>
      <c r="G116" s="21">
        <f t="shared" si="53"/>
        <v>0</v>
      </c>
      <c r="H116" s="21">
        <f t="shared" si="53"/>
        <v>0</v>
      </c>
      <c r="I116" s="21">
        <f t="shared" si="53"/>
        <v>0</v>
      </c>
      <c r="J116" s="75"/>
      <c r="K116" s="21">
        <v>1300</v>
      </c>
      <c r="L116" s="21">
        <f t="shared" ref="L116" si="54">L112-L115</f>
        <v>888</v>
      </c>
      <c r="M116" s="20">
        <f>M112-M115</f>
        <v>0</v>
      </c>
      <c r="N116" s="16">
        <v>1222.8599999999999</v>
      </c>
      <c r="O116" s="11">
        <v>7641.09</v>
      </c>
    </row>
    <row r="117" spans="1:15" s="27" customFormat="1">
      <c r="A117" s="39"/>
      <c r="B117" s="4" t="s">
        <v>124</v>
      </c>
      <c r="C117" s="30">
        <f t="shared" ref="C117" si="55">C109+C116</f>
        <v>15812.280344000086</v>
      </c>
      <c r="D117" s="30">
        <f t="shared" ref="D117:I117" si="56">D109+D116</f>
        <v>1756.1405624999898</v>
      </c>
      <c r="E117" s="30">
        <f t="shared" si="56"/>
        <v>-48243.85943750001</v>
      </c>
      <c r="F117" s="30">
        <f t="shared" si="56"/>
        <v>0</v>
      </c>
      <c r="G117" s="30">
        <f t="shared" si="56"/>
        <v>0</v>
      </c>
      <c r="H117" s="30">
        <f t="shared" si="56"/>
        <v>0</v>
      </c>
      <c r="I117" s="30">
        <f t="shared" si="56"/>
        <v>50000</v>
      </c>
      <c r="J117" s="79"/>
      <c r="K117" s="30">
        <v>2334</v>
      </c>
      <c r="L117" s="30">
        <f t="shared" ref="L117" si="57">L109+L116</f>
        <v>-6143</v>
      </c>
      <c r="M117" s="30">
        <f>M109+M116</f>
        <v>81500</v>
      </c>
      <c r="N117" s="40">
        <v>108529.22</v>
      </c>
      <c r="O117" s="41">
        <v>142828.62</v>
      </c>
    </row>
    <row r="118" spans="1:15">
      <c r="A118" s="1"/>
      <c r="B118" s="4" t="s">
        <v>125</v>
      </c>
      <c r="C118" s="22"/>
      <c r="D118" s="22"/>
      <c r="E118" s="8"/>
      <c r="F118" s="8"/>
      <c r="G118" s="8"/>
      <c r="H118" s="8"/>
      <c r="I118" s="8"/>
      <c r="J118" s="71"/>
      <c r="K118" s="8"/>
      <c r="L118" s="8"/>
      <c r="M118" s="22"/>
      <c r="N118" s="12"/>
      <c r="O118" s="12"/>
    </row>
    <row r="119" spans="1:15" s="27" customFormat="1" ht="13.8" thickBot="1">
      <c r="A119" s="84"/>
      <c r="B119" s="2" t="s">
        <v>126</v>
      </c>
      <c r="C119" s="42">
        <f>C117+C118</f>
        <v>15812.280344000086</v>
      </c>
      <c r="D119" s="42">
        <f>D117+D118</f>
        <v>1756.1405624999898</v>
      </c>
      <c r="E119" s="42">
        <f t="shared" ref="E119:I119" si="58">E117+E118</f>
        <v>-48243.85943750001</v>
      </c>
      <c r="F119" s="42">
        <f t="shared" si="58"/>
        <v>0</v>
      </c>
      <c r="G119" s="42">
        <f t="shared" si="58"/>
        <v>0</v>
      </c>
      <c r="H119" s="42">
        <f t="shared" si="58"/>
        <v>0</v>
      </c>
      <c r="I119" s="42">
        <f t="shared" si="58"/>
        <v>50000</v>
      </c>
      <c r="J119" s="80"/>
      <c r="K119" s="42">
        <v>2334</v>
      </c>
      <c r="L119" s="42">
        <f t="shared" ref="L119" si="59">L117+L118</f>
        <v>-6143</v>
      </c>
      <c r="M119" s="42">
        <f>M117+M118</f>
        <v>81500</v>
      </c>
      <c r="N119" s="43">
        <v>108529.22</v>
      </c>
      <c r="O119" s="44">
        <v>142828.62</v>
      </c>
    </row>
    <row r="120" spans="1:15" ht="13.8" thickTop="1">
      <c r="A120" s="84"/>
      <c r="B120" s="6" t="s">
        <v>127</v>
      </c>
      <c r="C120" s="8"/>
      <c r="D120" s="8"/>
      <c r="E120" s="8"/>
      <c r="F120" s="8"/>
      <c r="G120" s="8"/>
      <c r="H120" s="8"/>
      <c r="I120" s="8"/>
      <c r="J120" s="71"/>
      <c r="K120" s="8"/>
      <c r="L120" s="8"/>
      <c r="M120" s="8"/>
      <c r="N120" s="12"/>
      <c r="O120" s="12"/>
    </row>
    <row r="121" spans="1:15">
      <c r="A121" s="7">
        <v>8960</v>
      </c>
      <c r="B121" s="6" t="s">
        <v>128</v>
      </c>
      <c r="C121" s="8"/>
      <c r="D121" s="8"/>
      <c r="E121" s="8"/>
      <c r="F121" s="8"/>
      <c r="G121" s="8"/>
      <c r="H121" s="8"/>
      <c r="I121" s="8"/>
      <c r="J121" s="71"/>
      <c r="K121" s="8"/>
      <c r="L121" s="8"/>
      <c r="M121" s="8"/>
      <c r="N121" s="15">
        <v>0</v>
      </c>
      <c r="O121" s="9">
        <v>142828.62</v>
      </c>
    </row>
    <row r="122" spans="1:15" s="27" customFormat="1">
      <c r="A122" s="24"/>
      <c r="B122" s="2" t="s">
        <v>129</v>
      </c>
      <c r="C122" s="17"/>
      <c r="D122" s="17"/>
      <c r="E122" s="17"/>
      <c r="F122" s="17"/>
      <c r="G122" s="17"/>
      <c r="H122" s="17"/>
      <c r="I122" s="17"/>
      <c r="J122" s="77"/>
      <c r="K122" s="17"/>
      <c r="L122" s="17"/>
      <c r="M122" s="17"/>
      <c r="N122" s="45">
        <v>0</v>
      </c>
      <c r="O122" s="46">
        <v>142828.62</v>
      </c>
    </row>
    <row r="123" spans="1:15">
      <c r="D123" s="8"/>
      <c r="E123" s="8"/>
      <c r="F123" s="8"/>
      <c r="G123" s="8"/>
      <c r="H123" s="8"/>
      <c r="I123" s="8"/>
      <c r="J123" s="71"/>
      <c r="K123" s="8"/>
      <c r="L123" s="8"/>
      <c r="M123" s="8"/>
      <c r="N123" s="13"/>
      <c r="O123" s="13"/>
    </row>
    <row r="124" spans="1:15">
      <c r="D124" s="8"/>
      <c r="E124" s="8"/>
      <c r="F124" s="8"/>
      <c r="G124" s="8"/>
      <c r="H124" s="8"/>
      <c r="I124" s="8"/>
      <c r="J124" s="71"/>
      <c r="K124" s="8"/>
      <c r="L124" s="8"/>
      <c r="M124" s="8"/>
      <c r="N124" s="13"/>
      <c r="O124" s="13"/>
    </row>
    <row r="125" spans="1:15">
      <c r="O125" s="13"/>
    </row>
  </sheetData>
  <dataConsolidate/>
  <mergeCells count="2">
    <mergeCell ref="A119:A120"/>
    <mergeCell ref="D1:H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2020 Heddal IL hovedst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C:\Users\BJORN-~1\AppData\Local\Temp\11\2411. Regnskapsrapporter 2017 Børre -_(23).pdf</dc:title>
  <dc:subject/>
  <dc:creator>Visma</dc:creator>
  <cp:keywords/>
  <dc:description/>
  <cp:lastModifiedBy>Andreas Susrud</cp:lastModifiedBy>
  <cp:revision/>
  <dcterms:created xsi:type="dcterms:W3CDTF">2019-03-18T12:00:38Z</dcterms:created>
  <dcterms:modified xsi:type="dcterms:W3CDTF">2022-02-21T19:29:15Z</dcterms:modified>
  <cp:category/>
  <cp:contentStatus/>
</cp:coreProperties>
</file>